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570" yWindow="450" windowWidth="21030" windowHeight="5595" tabRatio="917"/>
  </bookViews>
  <sheets>
    <sheet name="INFO" sheetId="23" r:id="rId1"/>
    <sheet name="Taulukot" sheetId="19" r:id="rId2"/>
    <sheet name="Taulukkojen luonti" sheetId="21" r:id="rId3"/>
    <sheet name="Kuviot" sheetId="20" r:id="rId4"/>
    <sheet name="EDP-alijäämä" sheetId="10" r:id="rId5"/>
    <sheet name="EDP-velka" sheetId="11" r:id="rId6"/>
    <sheet name="Kokonaisvaltainen arvio" sheetId="22" r:id="rId7"/>
    <sheet name="Poikkeama menosäännöstä" sheetId="18" r:id="rId8"/>
    <sheet name="Menosääntö" sheetId="14" r:id="rId9"/>
    <sheet name="Menosäännön menojen laskenta" sheetId="13" r:id="rId10"/>
    <sheet name="Menojen laskenta II" sheetId="17" r:id="rId11"/>
    <sheet name="Poikkeama rak.jäämästä" sheetId="9" r:id="rId12"/>
    <sheet name="rak. jäämään muutostavoite" sheetId="12" r:id="rId13"/>
    <sheet name="Rakenteellinen jäämä" sheetId="8" r:id="rId14"/>
    <sheet name="Pot.tuot ja tuotantokuilu" sheetId="6" r:id="rId15"/>
    <sheet name="Kokonaistuottavuus" sheetId="1" r:id="rId16"/>
    <sheet name="Pääoma" sheetId="5" r:id="rId17"/>
    <sheet name="Työvoimapanos" sheetId="4" r:id="rId18"/>
    <sheet name="NAWRUn laskenta" sheetId="2" r:id="rId19"/>
  </sheets>
  <calcPr calcId="145621"/>
</workbook>
</file>

<file path=xl/calcChain.xml><?xml version="1.0" encoding="utf-8"?>
<calcChain xmlns="http://schemas.openxmlformats.org/spreadsheetml/2006/main">
  <c r="R16" i="14" l="1"/>
  <c r="D5" i="13" l="1"/>
  <c r="D6" i="13"/>
  <c r="D7" i="13"/>
  <c r="D8" i="13"/>
  <c r="D9" i="13"/>
  <c r="D10" i="13"/>
  <c r="D11" i="13"/>
  <c r="D12" i="13"/>
  <c r="D4" i="13"/>
  <c r="C4" i="14"/>
  <c r="C6" i="14" l="1"/>
  <c r="C7" i="14"/>
  <c r="C8" i="14"/>
  <c r="C9" i="14"/>
  <c r="C5" i="14"/>
  <c r="D7" i="14" s="1"/>
  <c r="E7" i="14" s="1"/>
  <c r="D10" i="14" l="1"/>
  <c r="E11" i="14" s="1"/>
  <c r="C107" i="21"/>
  <c r="C108" i="21"/>
  <c r="C109" i="21"/>
  <c r="C110" i="21"/>
  <c r="C111" i="21"/>
  <c r="C112" i="21"/>
  <c r="C106" i="21"/>
  <c r="J58" i="21" l="1"/>
  <c r="K58" i="21"/>
  <c r="J59" i="21"/>
  <c r="K59" i="21"/>
  <c r="J60" i="21"/>
  <c r="K60" i="21"/>
  <c r="K57" i="21"/>
  <c r="J57" i="21"/>
  <c r="G58" i="21"/>
  <c r="G59" i="21"/>
  <c r="G60" i="21"/>
  <c r="G57" i="21"/>
  <c r="E58" i="21"/>
  <c r="E59" i="21"/>
  <c r="E60" i="21"/>
  <c r="E57" i="21"/>
  <c r="D58" i="21"/>
  <c r="D59" i="21"/>
  <c r="D60" i="21"/>
  <c r="D57" i="21"/>
  <c r="C58" i="21"/>
  <c r="C59" i="21"/>
  <c r="C60" i="21"/>
  <c r="C57" i="21"/>
  <c r="D46" i="21" l="1"/>
  <c r="D47" i="21"/>
  <c r="D45" i="21"/>
  <c r="D32" i="21"/>
  <c r="D33" i="21"/>
  <c r="D34" i="21"/>
  <c r="D35" i="21"/>
  <c r="D36" i="21"/>
  <c r="D37" i="21"/>
  <c r="D31" i="21"/>
  <c r="I20" i="21" l="1"/>
  <c r="I21" i="21"/>
  <c r="I22" i="21"/>
  <c r="I19" i="21"/>
  <c r="E20" i="21"/>
  <c r="E21" i="21"/>
  <c r="E22" i="21"/>
  <c r="E19" i="21"/>
  <c r="I7" i="21"/>
  <c r="I8" i="21"/>
  <c r="I9" i="21"/>
  <c r="I10" i="21"/>
  <c r="I11" i="21"/>
  <c r="I12" i="21"/>
  <c r="I6" i="21"/>
  <c r="E7" i="21"/>
  <c r="E8" i="21"/>
  <c r="E9" i="21"/>
  <c r="E10" i="21"/>
  <c r="E11" i="21"/>
  <c r="E12" i="21"/>
  <c r="E6" i="21"/>
  <c r="AF6" i="14"/>
  <c r="C66" i="21" s="1"/>
  <c r="E5" i="20" s="1"/>
  <c r="AF5" i="14"/>
  <c r="AE6" i="14"/>
  <c r="D66" i="21" s="1"/>
  <c r="F5" i="20" s="1"/>
  <c r="AE7" i="14"/>
  <c r="D67" i="21" s="1"/>
  <c r="F6" i="20" s="1"/>
  <c r="AE8" i="14"/>
  <c r="D68" i="21" s="1"/>
  <c r="F7" i="20" s="1"/>
  <c r="AE9" i="14"/>
  <c r="D69" i="21" s="1"/>
  <c r="F8" i="20" s="1"/>
  <c r="AE10" i="14"/>
  <c r="D70" i="21" s="1"/>
  <c r="F9" i="20" s="1"/>
  <c r="AE5" i="14"/>
  <c r="P6" i="14"/>
  <c r="P5" i="14"/>
  <c r="O6" i="14"/>
  <c r="O7" i="14"/>
  <c r="O8" i="14"/>
  <c r="O9" i="14"/>
  <c r="O10" i="14"/>
  <c r="O5" i="14"/>
  <c r="G8" i="17"/>
  <c r="G6" i="14" l="1"/>
  <c r="W6" i="14"/>
  <c r="I10" i="14"/>
  <c r="S6" i="14"/>
  <c r="S7" i="14"/>
  <c r="S8" i="14"/>
  <c r="S9" i="14"/>
  <c r="S10" i="14"/>
  <c r="S11" i="14"/>
  <c r="S12" i="14"/>
  <c r="S5" i="14"/>
  <c r="T10" i="14" l="1"/>
  <c r="T7" i="14"/>
  <c r="E8" i="14"/>
  <c r="P8" i="14" s="1"/>
  <c r="P7" i="14"/>
  <c r="E9" i="14"/>
  <c r="P9" i="14" s="1"/>
  <c r="E10" i="14"/>
  <c r="U11" i="14" l="1"/>
  <c r="U16" i="14" s="1"/>
  <c r="K10" i="14"/>
  <c r="B10" i="18" s="1"/>
  <c r="P10" i="14"/>
  <c r="U8" i="14"/>
  <c r="AF8" i="14" s="1"/>
  <c r="C68" i="21" s="1"/>
  <c r="E7" i="20" s="1"/>
  <c r="U10" i="14"/>
  <c r="AF10" i="14" s="1"/>
  <c r="C70" i="21" s="1"/>
  <c r="E9" i="20" s="1"/>
  <c r="U12" i="14"/>
  <c r="U17" i="14" s="1"/>
  <c r="U7" i="14"/>
  <c r="AF7" i="14" s="1"/>
  <c r="C67" i="21" s="1"/>
  <c r="U9" i="14"/>
  <c r="AF9" i="14" s="1"/>
  <c r="C69" i="21" s="1"/>
  <c r="E8" i="20" s="1"/>
  <c r="E12" i="14"/>
  <c r="E6" i="20" l="1"/>
  <c r="K68" i="5" l="1"/>
  <c r="K67" i="5"/>
  <c r="J67" i="5"/>
  <c r="J68" i="5"/>
  <c r="H67" i="5"/>
  <c r="H68" i="5"/>
  <c r="AF67" i="4" l="1"/>
  <c r="AF68" i="4"/>
  <c r="AD67" i="4"/>
  <c r="AD68" i="4"/>
  <c r="AB67" i="4"/>
  <c r="AB68" i="4"/>
  <c r="D67" i="5" l="1"/>
  <c r="L67" i="5" s="1"/>
  <c r="D68" i="5"/>
  <c r="L68" i="5" s="1"/>
  <c r="H13" i="17" l="1"/>
  <c r="K13" i="17" s="1"/>
  <c r="H10" i="13" s="1"/>
  <c r="H14" i="17"/>
  <c r="K14" i="17" s="1"/>
  <c r="H11" i="13" s="1"/>
  <c r="H15" i="17"/>
  <c r="K15" i="17" s="1"/>
  <c r="H12" i="13" s="1"/>
  <c r="H6" i="17"/>
  <c r="H7" i="17"/>
  <c r="H8" i="17"/>
  <c r="K8" i="17" s="1"/>
  <c r="H5" i="13" s="1"/>
  <c r="H9" i="17"/>
  <c r="K9" i="17" s="1"/>
  <c r="H6" i="13" s="1"/>
  <c r="F57" i="21" s="1"/>
  <c r="H10" i="17"/>
  <c r="K10" i="17" s="1"/>
  <c r="H7" i="13" s="1"/>
  <c r="F58" i="21" s="1"/>
  <c r="H11" i="17"/>
  <c r="K11" i="17" s="1"/>
  <c r="H8" i="13" s="1"/>
  <c r="F59" i="21" s="1"/>
  <c r="H12" i="17"/>
  <c r="K12" i="17" s="1"/>
  <c r="H9" i="13" s="1"/>
  <c r="F60" i="21" s="1"/>
  <c r="H5" i="17"/>
  <c r="B6" i="17"/>
  <c r="B7" i="17"/>
  <c r="B8" i="17"/>
  <c r="B9" i="17"/>
  <c r="B10" i="17"/>
  <c r="B11" i="17"/>
  <c r="B12" i="17"/>
  <c r="B5" i="17"/>
  <c r="F5" i="13"/>
  <c r="G9" i="17"/>
  <c r="F6" i="13" s="1"/>
  <c r="H57" i="21" s="1"/>
  <c r="G10" i="17"/>
  <c r="F7" i="13" s="1"/>
  <c r="H58" i="21" s="1"/>
  <c r="G11" i="17"/>
  <c r="F8" i="13" s="1"/>
  <c r="H59" i="21" s="1"/>
  <c r="G12" i="17"/>
  <c r="F9" i="13" s="1"/>
  <c r="H60" i="21" s="1"/>
  <c r="G13" i="17"/>
  <c r="F10" i="13" s="1"/>
  <c r="G14" i="17"/>
  <c r="F11" i="13" s="1"/>
  <c r="G15" i="17"/>
  <c r="F12" i="13" s="1"/>
  <c r="M9" i="9" l="1"/>
  <c r="X50" i="11" l="1"/>
  <c r="X46" i="11"/>
  <c r="E109" i="21" s="1"/>
  <c r="X45" i="11"/>
  <c r="E108" i="21" s="1"/>
  <c r="X44" i="11"/>
  <c r="E107" i="21" s="1"/>
  <c r="X49" i="11"/>
  <c r="E112" i="21" s="1"/>
  <c r="Z44" i="11" l="1"/>
  <c r="Y49" i="11"/>
  <c r="F112" i="21" s="1"/>
  <c r="Z43" i="11"/>
  <c r="Z47" i="11"/>
  <c r="R6" i="13"/>
  <c r="I12" i="13"/>
  <c r="L12" i="13" s="1"/>
  <c r="I6" i="13"/>
  <c r="I57" i="21" s="1"/>
  <c r="I7" i="13"/>
  <c r="I58" i="21" s="1"/>
  <c r="I8" i="13"/>
  <c r="I59" i="21" s="1"/>
  <c r="I9" i="13"/>
  <c r="I60" i="21" s="1"/>
  <c r="I10" i="13"/>
  <c r="I11" i="13"/>
  <c r="I5" i="13"/>
  <c r="N12" i="13" l="1"/>
  <c r="L10" i="13"/>
  <c r="N10" i="13" s="1"/>
  <c r="X11" i="18"/>
  <c r="X15" i="18" s="1"/>
  <c r="L6" i="13"/>
  <c r="L57" i="21" s="1"/>
  <c r="X7" i="18"/>
  <c r="L9" i="13"/>
  <c r="X10" i="18"/>
  <c r="X6" i="18"/>
  <c r="L5" i="13"/>
  <c r="H6" i="18" s="1"/>
  <c r="L8" i="13"/>
  <c r="L59" i="21" s="1"/>
  <c r="X9" i="18"/>
  <c r="L11" i="13"/>
  <c r="N11" i="13" s="1"/>
  <c r="X12" i="18"/>
  <c r="X16" i="18" s="1"/>
  <c r="L7" i="13"/>
  <c r="L58" i="21" s="1"/>
  <c r="X8" i="18"/>
  <c r="R10" i="13"/>
  <c r="R11" i="13"/>
  <c r="R12" i="13"/>
  <c r="R9" i="13"/>
  <c r="R7" i="13"/>
  <c r="R8" i="13"/>
  <c r="N9" i="13" l="1"/>
  <c r="U9" i="13" s="1"/>
  <c r="L60" i="21"/>
  <c r="Z8" i="19" s="1" a="1"/>
  <c r="U12" i="13"/>
  <c r="U12" i="18" s="1"/>
  <c r="H8" i="18"/>
  <c r="N7" i="13"/>
  <c r="H9" i="18"/>
  <c r="N8" i="13"/>
  <c r="N6" i="13"/>
  <c r="H7" i="18"/>
  <c r="U11" i="13"/>
  <c r="U10" i="13"/>
  <c r="O30" i="9"/>
  <c r="O31" i="9"/>
  <c r="O32" i="9"/>
  <c r="O33" i="9"/>
  <c r="O34" i="9"/>
  <c r="O35" i="9"/>
  <c r="O36" i="9"/>
  <c r="O37" i="9"/>
  <c r="O38" i="9"/>
  <c r="O39" i="9"/>
  <c r="O40" i="9"/>
  <c r="O41" i="9"/>
  <c r="O29" i="9"/>
  <c r="Q29" i="9" s="1"/>
  <c r="Q39" i="9"/>
  <c r="B30" i="9"/>
  <c r="B31" i="9"/>
  <c r="B32" i="9"/>
  <c r="B33" i="9"/>
  <c r="B34" i="9"/>
  <c r="B35" i="9"/>
  <c r="B36" i="9"/>
  <c r="B37" i="9"/>
  <c r="B29" i="9"/>
  <c r="D29" i="9" s="1"/>
  <c r="O8" i="12"/>
  <c r="Q8" i="12" s="1"/>
  <c r="O9" i="12"/>
  <c r="Q9" i="12" s="1"/>
  <c r="O10" i="12"/>
  <c r="Q10" i="12" s="1"/>
  <c r="O11" i="12"/>
  <c r="Q11" i="12" s="1"/>
  <c r="O12" i="12"/>
  <c r="O13" i="12"/>
  <c r="O14" i="12"/>
  <c r="O15" i="12"/>
  <c r="O16" i="12"/>
  <c r="O17" i="12"/>
  <c r="O18" i="12"/>
  <c r="O19" i="12"/>
  <c r="Q19" i="12" s="1"/>
  <c r="O7" i="12"/>
  <c r="Q7" i="12" s="1"/>
  <c r="E8" i="12"/>
  <c r="G8" i="12" s="1"/>
  <c r="E9" i="12"/>
  <c r="G9" i="12" s="1"/>
  <c r="E10" i="12"/>
  <c r="E11" i="12"/>
  <c r="E12" i="12"/>
  <c r="H19" i="21" s="1"/>
  <c r="E13" i="12"/>
  <c r="E14" i="12"/>
  <c r="H21" i="21" s="1"/>
  <c r="E15" i="12"/>
  <c r="E7" i="12"/>
  <c r="Z8" i="19" l="1"/>
  <c r="AC14" i="19"/>
  <c r="AC10" i="19"/>
  <c r="AB16" i="19"/>
  <c r="AB12" i="19"/>
  <c r="AB8" i="19"/>
  <c r="AA14" i="19"/>
  <c r="AA10" i="19"/>
  <c r="Z16" i="19"/>
  <c r="Z12" i="19"/>
  <c r="AC17" i="19"/>
  <c r="AC13" i="19"/>
  <c r="AC9" i="19"/>
  <c r="AB15" i="19"/>
  <c r="AB11" i="19"/>
  <c r="AA17" i="19"/>
  <c r="AA13" i="19"/>
  <c r="AA9" i="19"/>
  <c r="Z15" i="19"/>
  <c r="Z11" i="19"/>
  <c r="AC16" i="19"/>
  <c r="AC12" i="19"/>
  <c r="AC8" i="19"/>
  <c r="AB14" i="19"/>
  <c r="AB10" i="19"/>
  <c r="AA16" i="19"/>
  <c r="AA12" i="19"/>
  <c r="AA8" i="19"/>
  <c r="Z14" i="19"/>
  <c r="Z10" i="19"/>
  <c r="AC15" i="19"/>
  <c r="AC11" i="19"/>
  <c r="AB17" i="19"/>
  <c r="AB13" i="19"/>
  <c r="AB9" i="19"/>
  <c r="AA15" i="19"/>
  <c r="AA11" i="19"/>
  <c r="Z17" i="19"/>
  <c r="Z13" i="19"/>
  <c r="Z9" i="19"/>
  <c r="G36" i="9"/>
  <c r="G32" i="9"/>
  <c r="T38" i="9"/>
  <c r="T34" i="9"/>
  <c r="G37" i="9"/>
  <c r="G33" i="9"/>
  <c r="T39" i="9"/>
  <c r="T35" i="9"/>
  <c r="R29" i="9"/>
  <c r="S29" i="9"/>
  <c r="G34" i="9"/>
  <c r="R39" i="9"/>
  <c r="Y39" i="9" s="1"/>
  <c r="S39" i="9"/>
  <c r="T31" i="9"/>
  <c r="Q18" i="12"/>
  <c r="H12" i="21"/>
  <c r="Q14" i="12"/>
  <c r="H8" i="21"/>
  <c r="G15" i="12"/>
  <c r="H22" i="21"/>
  <c r="Q17" i="12"/>
  <c r="H11" i="21"/>
  <c r="Q13" i="12"/>
  <c r="H7" i="21"/>
  <c r="Q16" i="12"/>
  <c r="H10" i="21"/>
  <c r="Q12" i="12"/>
  <c r="H6" i="21"/>
  <c r="G13" i="12"/>
  <c r="H20" i="21"/>
  <c r="Q15" i="12"/>
  <c r="H9" i="21"/>
  <c r="E29" i="9"/>
  <c r="F29" i="9"/>
  <c r="T30" i="9"/>
  <c r="G30" i="9"/>
  <c r="Q40" i="9"/>
  <c r="T40" i="9"/>
  <c r="Q36" i="9"/>
  <c r="T36" i="9"/>
  <c r="Q32" i="9"/>
  <c r="T32" i="9"/>
  <c r="D33" i="9"/>
  <c r="G35" i="9"/>
  <c r="D31" i="9"/>
  <c r="G31" i="9"/>
  <c r="Q41" i="9"/>
  <c r="T41" i="9"/>
  <c r="T37" i="9"/>
  <c r="Q33" i="9"/>
  <c r="T33" i="9"/>
  <c r="U7" i="13"/>
  <c r="U16" i="18"/>
  <c r="F72" i="21"/>
  <c r="D11" i="20" s="1"/>
  <c r="E12" i="18"/>
  <c r="U9" i="18"/>
  <c r="E9" i="18"/>
  <c r="U6" i="13"/>
  <c r="E10" i="18"/>
  <c r="U10" i="18"/>
  <c r="U8" i="13"/>
  <c r="E11" i="18"/>
  <c r="U11" i="18"/>
  <c r="Q34" i="9"/>
  <c r="G11" i="12"/>
  <c r="G7" i="12"/>
  <c r="G12" i="12"/>
  <c r="G14" i="12"/>
  <c r="G10" i="12"/>
  <c r="D30" i="9"/>
  <c r="D34" i="9"/>
  <c r="Q38" i="9"/>
  <c r="Q31" i="9"/>
  <c r="Q30" i="9"/>
  <c r="Q35" i="9"/>
  <c r="Q37" i="9"/>
  <c r="D35" i="9"/>
  <c r="D37" i="9"/>
  <c r="D32" i="9"/>
  <c r="D36" i="9"/>
  <c r="AI49" i="11"/>
  <c r="S12" i="13" s="1"/>
  <c r="V12" i="13" s="1"/>
  <c r="AH49" i="11"/>
  <c r="AE49" i="11"/>
  <c r="AG49" i="11" s="1"/>
  <c r="AB49" i="11"/>
  <c r="W49" i="11"/>
  <c r="D112" i="21" s="1"/>
  <c r="AI48" i="11"/>
  <c r="S11" i="13" s="1"/>
  <c r="V11" i="13" s="1"/>
  <c r="AH48" i="11"/>
  <c r="AE48" i="11"/>
  <c r="AG48" i="11" s="1"/>
  <c r="AB48" i="11"/>
  <c r="X48" i="11"/>
  <c r="E111" i="21" s="1"/>
  <c r="W48" i="11"/>
  <c r="D111" i="21" s="1"/>
  <c r="AI47" i="11"/>
  <c r="S10" i="13" s="1"/>
  <c r="V10" i="13" s="1"/>
  <c r="AH47" i="11"/>
  <c r="AE47" i="11"/>
  <c r="AG47" i="11" s="1"/>
  <c r="AB47" i="11"/>
  <c r="X47" i="11"/>
  <c r="W47" i="11"/>
  <c r="D47" i="11"/>
  <c r="AI46" i="11"/>
  <c r="S9" i="13" s="1"/>
  <c r="V9" i="13" s="1"/>
  <c r="AH46" i="11"/>
  <c r="AE46" i="11"/>
  <c r="AG46" i="11" s="1"/>
  <c r="AB46" i="11"/>
  <c r="Z46" i="11"/>
  <c r="Y46" i="11"/>
  <c r="F109" i="21" s="1"/>
  <c r="W46" i="11"/>
  <c r="O46" i="11"/>
  <c r="N46" i="11"/>
  <c r="K46" i="11"/>
  <c r="M46" i="11" s="1"/>
  <c r="H46" i="11"/>
  <c r="Q46" i="11" s="1"/>
  <c r="D46" i="11"/>
  <c r="E46" i="11" s="1"/>
  <c r="C46" i="11"/>
  <c r="AI45" i="11"/>
  <c r="S8" i="13" s="1"/>
  <c r="V8" i="13" s="1"/>
  <c r="AH45" i="11"/>
  <c r="AE45" i="11"/>
  <c r="AG45" i="11" s="1"/>
  <c r="AB45" i="11"/>
  <c r="AK45" i="11" s="1"/>
  <c r="Y45" i="11"/>
  <c r="F108" i="21" s="1"/>
  <c r="W45" i="11"/>
  <c r="O45" i="11"/>
  <c r="N45" i="11"/>
  <c r="K45" i="11"/>
  <c r="M45" i="11" s="1"/>
  <c r="H45" i="11"/>
  <c r="D45" i="11"/>
  <c r="C45" i="11"/>
  <c r="AI44" i="11"/>
  <c r="S7" i="13" s="1"/>
  <c r="V7" i="13" s="1"/>
  <c r="AH44" i="11"/>
  <c r="AJ44" i="11" s="1"/>
  <c r="AE44" i="11"/>
  <c r="AG44" i="11" s="1"/>
  <c r="AB44" i="11"/>
  <c r="W44" i="11"/>
  <c r="O44" i="11"/>
  <c r="P45" i="11" s="1"/>
  <c r="N44" i="11"/>
  <c r="K44" i="11"/>
  <c r="M44" i="11" s="1"/>
  <c r="H44" i="11"/>
  <c r="F44" i="11"/>
  <c r="D44" i="11"/>
  <c r="E44" i="11" s="1"/>
  <c r="C44" i="11"/>
  <c r="AI43" i="11"/>
  <c r="S6" i="13" s="1"/>
  <c r="V6" i="13" s="1"/>
  <c r="AH43" i="11"/>
  <c r="AJ43" i="11" s="1"/>
  <c r="AG43" i="11"/>
  <c r="AE43" i="11"/>
  <c r="AB43" i="11"/>
  <c r="X43" i="11"/>
  <c r="E106" i="21" s="1"/>
  <c r="W43" i="11"/>
  <c r="O43" i="11"/>
  <c r="N43" i="11"/>
  <c r="K43" i="11"/>
  <c r="M43" i="11" s="1"/>
  <c r="H43" i="11"/>
  <c r="D43" i="11"/>
  <c r="E43" i="11" s="1"/>
  <c r="C43" i="11"/>
  <c r="AI42" i="11"/>
  <c r="AH42" i="11"/>
  <c r="AE42" i="11"/>
  <c r="AG42" i="11" s="1"/>
  <c r="AB42" i="11"/>
  <c r="X42" i="11"/>
  <c r="W42" i="11"/>
  <c r="O42" i="11"/>
  <c r="N42" i="11"/>
  <c r="M42" i="11"/>
  <c r="K42" i="11"/>
  <c r="H42" i="11"/>
  <c r="F42" i="11"/>
  <c r="E42" i="11"/>
  <c r="D42" i="11"/>
  <c r="C42" i="11"/>
  <c r="AI41" i="11"/>
  <c r="AH41" i="11"/>
  <c r="AE41" i="11"/>
  <c r="AG41" i="11" s="1"/>
  <c r="AB41" i="11"/>
  <c r="X41" i="11"/>
  <c r="W41" i="11"/>
  <c r="O41" i="11"/>
  <c r="N41" i="11"/>
  <c r="K41" i="11"/>
  <c r="M41" i="11" s="1"/>
  <c r="H41" i="11"/>
  <c r="D41" i="11"/>
  <c r="E41" i="11" s="1"/>
  <c r="C41" i="11"/>
  <c r="AI40" i="11"/>
  <c r="AH40" i="11"/>
  <c r="AE40" i="11"/>
  <c r="AG40" i="11" s="1"/>
  <c r="AB40" i="11"/>
  <c r="X40" i="11"/>
  <c r="W40" i="11"/>
  <c r="O40" i="11"/>
  <c r="N40" i="11"/>
  <c r="K40" i="11"/>
  <c r="M40" i="11" s="1"/>
  <c r="H40" i="11"/>
  <c r="F40" i="11"/>
  <c r="D40" i="11"/>
  <c r="E40" i="11" s="1"/>
  <c r="C40" i="11"/>
  <c r="AI39" i="11"/>
  <c r="AH39" i="11"/>
  <c r="AE39" i="11"/>
  <c r="AG39" i="11" s="1"/>
  <c r="AK39" i="11" s="1"/>
  <c r="AB39" i="11"/>
  <c r="X39" i="11"/>
  <c r="W39" i="11"/>
  <c r="O39" i="11"/>
  <c r="N39" i="11"/>
  <c r="K39" i="11"/>
  <c r="M39" i="11" s="1"/>
  <c r="H39" i="11"/>
  <c r="D39" i="11"/>
  <c r="E39" i="11" s="1"/>
  <c r="C39" i="11"/>
  <c r="AI38" i="11"/>
  <c r="AH38" i="11"/>
  <c r="AE38" i="11"/>
  <c r="AG38" i="11" s="1"/>
  <c r="AK38" i="11" s="1"/>
  <c r="AA38" i="11"/>
  <c r="AB38" i="11" s="1"/>
  <c r="X38" i="11"/>
  <c r="W38" i="11"/>
  <c r="O38" i="11"/>
  <c r="N38" i="11"/>
  <c r="K38" i="11"/>
  <c r="M38" i="11" s="1"/>
  <c r="H38" i="11"/>
  <c r="F38" i="11"/>
  <c r="D38" i="11"/>
  <c r="C38" i="11"/>
  <c r="AI37" i="11"/>
  <c r="AH37" i="11"/>
  <c r="AG37" i="11"/>
  <c r="AE37" i="11"/>
  <c r="AA37" i="11"/>
  <c r="X37" i="11"/>
  <c r="W37" i="11"/>
  <c r="O37" i="11"/>
  <c r="N37" i="11"/>
  <c r="K37" i="11"/>
  <c r="M37" i="11" s="1"/>
  <c r="H37" i="11"/>
  <c r="F37" i="11"/>
  <c r="D37" i="11"/>
  <c r="E37" i="11" s="1"/>
  <c r="C37" i="11"/>
  <c r="AI36" i="11"/>
  <c r="AH36" i="11"/>
  <c r="AE36" i="11"/>
  <c r="AG36" i="11" s="1"/>
  <c r="AA36" i="11"/>
  <c r="X36" i="11"/>
  <c r="W36" i="11"/>
  <c r="O36" i="11"/>
  <c r="N36" i="11"/>
  <c r="K36" i="11"/>
  <c r="M36" i="11" s="1"/>
  <c r="H36" i="11"/>
  <c r="D36" i="11"/>
  <c r="E36" i="11" s="1"/>
  <c r="C36" i="11"/>
  <c r="AI35" i="11"/>
  <c r="AH35" i="11"/>
  <c r="AE35" i="11"/>
  <c r="AG35" i="11" s="1"/>
  <c r="AA35" i="11"/>
  <c r="AB35" i="11" s="1"/>
  <c r="X35" i="11"/>
  <c r="Y35" i="11" s="1"/>
  <c r="W35" i="11"/>
  <c r="O35" i="11"/>
  <c r="N35" i="11"/>
  <c r="K35" i="11"/>
  <c r="M35" i="11" s="1"/>
  <c r="H35" i="11"/>
  <c r="F35" i="11"/>
  <c r="D35" i="11"/>
  <c r="C35" i="11"/>
  <c r="AI34" i="11"/>
  <c r="AH34" i="11"/>
  <c r="AE34" i="11"/>
  <c r="AG34" i="11" s="1"/>
  <c r="AA34" i="11"/>
  <c r="AB34" i="11" s="1"/>
  <c r="Y34" i="11"/>
  <c r="X34" i="11"/>
  <c r="W34" i="11"/>
  <c r="O34" i="11"/>
  <c r="N34" i="11"/>
  <c r="K34" i="11"/>
  <c r="M34" i="11" s="1"/>
  <c r="H34" i="11"/>
  <c r="F34" i="11"/>
  <c r="D34" i="11"/>
  <c r="C34" i="11"/>
  <c r="AI33" i="11"/>
  <c r="AH33" i="11"/>
  <c r="AG33" i="11"/>
  <c r="AE33" i="11"/>
  <c r="AA33" i="11"/>
  <c r="Z33" i="11"/>
  <c r="Y33" i="11"/>
  <c r="X33" i="11"/>
  <c r="W33" i="11"/>
  <c r="O33" i="11"/>
  <c r="N33" i="11"/>
  <c r="K33" i="11"/>
  <c r="M33" i="11" s="1"/>
  <c r="H33" i="11"/>
  <c r="D33" i="11"/>
  <c r="C33" i="11"/>
  <c r="AI32" i="11"/>
  <c r="AH32" i="11"/>
  <c r="AG32" i="11"/>
  <c r="AE32" i="11"/>
  <c r="AA32" i="11"/>
  <c r="AB32" i="11" s="1"/>
  <c r="Z32" i="11"/>
  <c r="X32" i="11"/>
  <c r="Y32" i="11" s="1"/>
  <c r="W32" i="11"/>
  <c r="O32" i="11"/>
  <c r="N32" i="11"/>
  <c r="K32" i="11"/>
  <c r="M32" i="11" s="1"/>
  <c r="H32" i="11"/>
  <c r="D32" i="11"/>
  <c r="F30" i="11" s="1"/>
  <c r="C32" i="11"/>
  <c r="AI31" i="11"/>
  <c r="AH31" i="11"/>
  <c r="AE31" i="11"/>
  <c r="AG31" i="11" s="1"/>
  <c r="AA31" i="11"/>
  <c r="AB31" i="11" s="1"/>
  <c r="Z31" i="11"/>
  <c r="X31" i="11"/>
  <c r="W31" i="11"/>
  <c r="O31" i="11"/>
  <c r="N31" i="11"/>
  <c r="M31" i="11"/>
  <c r="K31" i="11"/>
  <c r="H31" i="11"/>
  <c r="D31" i="11"/>
  <c r="C31" i="11"/>
  <c r="AI30" i="11"/>
  <c r="AH30" i="11"/>
  <c r="AE30" i="11"/>
  <c r="AG30" i="11" s="1"/>
  <c r="AA30" i="11"/>
  <c r="AB30" i="11" s="1"/>
  <c r="Z30" i="11"/>
  <c r="X30" i="11"/>
  <c r="Y30" i="11" s="1"/>
  <c r="W30" i="11"/>
  <c r="O30" i="11"/>
  <c r="N30" i="11"/>
  <c r="K30" i="11"/>
  <c r="M30" i="11" s="1"/>
  <c r="H30" i="11"/>
  <c r="D30" i="11"/>
  <c r="E30" i="11" s="1"/>
  <c r="C30" i="11"/>
  <c r="AI29" i="11"/>
  <c r="AH29" i="11"/>
  <c r="AE29" i="11"/>
  <c r="AG29" i="11" s="1"/>
  <c r="AA29" i="11"/>
  <c r="X29" i="11"/>
  <c r="Y29" i="11" s="1"/>
  <c r="W29" i="11"/>
  <c r="Q29" i="11"/>
  <c r="O29" i="11"/>
  <c r="N29" i="11"/>
  <c r="K29" i="11"/>
  <c r="M29" i="11" s="1"/>
  <c r="H29" i="11"/>
  <c r="D29" i="11"/>
  <c r="C29" i="11"/>
  <c r="AI28" i="11"/>
  <c r="AH28" i="11"/>
  <c r="AG28" i="11"/>
  <c r="AE28" i="11"/>
  <c r="AA28" i="11"/>
  <c r="Z28" i="11"/>
  <c r="X28" i="11"/>
  <c r="Y28" i="11" s="1"/>
  <c r="W28" i="11"/>
  <c r="O28" i="11"/>
  <c r="N28" i="11"/>
  <c r="K28" i="11"/>
  <c r="M28" i="11" s="1"/>
  <c r="H28" i="11"/>
  <c r="F28" i="11"/>
  <c r="D28" i="11"/>
  <c r="C28" i="11"/>
  <c r="AI27" i="11"/>
  <c r="AH27" i="11"/>
  <c r="AE27" i="11"/>
  <c r="AG27" i="11" s="1"/>
  <c r="AA27" i="11"/>
  <c r="Z27" i="11"/>
  <c r="X27" i="11"/>
  <c r="W27" i="11"/>
  <c r="O27" i="11"/>
  <c r="N27" i="11"/>
  <c r="M27" i="11"/>
  <c r="K27" i="11"/>
  <c r="H27" i="11"/>
  <c r="E27" i="11"/>
  <c r="D27" i="11"/>
  <c r="C27" i="11"/>
  <c r="AI26" i="11"/>
  <c r="AH26" i="11"/>
  <c r="AE26" i="11"/>
  <c r="AG26" i="11" s="1"/>
  <c r="AA26" i="11"/>
  <c r="Y26" i="11"/>
  <c r="X26" i="11"/>
  <c r="W26" i="11"/>
  <c r="O26" i="11"/>
  <c r="N26" i="11"/>
  <c r="K26" i="11"/>
  <c r="M26" i="11" s="1"/>
  <c r="H26" i="11"/>
  <c r="D26" i="11"/>
  <c r="E26" i="11" s="1"/>
  <c r="C26" i="11"/>
  <c r="AI25" i="11"/>
  <c r="AH25" i="11"/>
  <c r="AE25" i="11"/>
  <c r="AG25" i="11" s="1"/>
  <c r="AA25" i="11"/>
  <c r="X25" i="11"/>
  <c r="Y25" i="11" s="1"/>
  <c r="W25" i="11"/>
  <c r="O25" i="11"/>
  <c r="N25" i="11"/>
  <c r="K25" i="11"/>
  <c r="M25" i="11" s="1"/>
  <c r="H25" i="11"/>
  <c r="F25" i="11"/>
  <c r="D25" i="11"/>
  <c r="C25" i="11"/>
  <c r="AI24" i="11"/>
  <c r="AH24" i="11"/>
  <c r="AG24" i="11"/>
  <c r="AE24" i="11"/>
  <c r="AA24" i="11"/>
  <c r="Z24" i="11"/>
  <c r="X24" i="11"/>
  <c r="Y24" i="11" s="1"/>
  <c r="W24" i="11"/>
  <c r="O24" i="11"/>
  <c r="N24" i="11"/>
  <c r="P24" i="11" s="1"/>
  <c r="K24" i="11"/>
  <c r="M24" i="11" s="1"/>
  <c r="H24" i="11"/>
  <c r="F24" i="11"/>
  <c r="D24" i="11"/>
  <c r="C24" i="11"/>
  <c r="AI23" i="11"/>
  <c r="AH23" i="11"/>
  <c r="AE23" i="11"/>
  <c r="AG23" i="11" s="1"/>
  <c r="AA23" i="11"/>
  <c r="Z23" i="11"/>
  <c r="Y23" i="11"/>
  <c r="X23" i="11"/>
  <c r="W23" i="11"/>
  <c r="O23" i="11"/>
  <c r="N23" i="11"/>
  <c r="K23" i="11"/>
  <c r="M23" i="11" s="1"/>
  <c r="H23" i="11"/>
  <c r="C23" i="11"/>
  <c r="AI22" i="11"/>
  <c r="AH22" i="11"/>
  <c r="AE22" i="11"/>
  <c r="AG22" i="11" s="1"/>
  <c r="AA22" i="11"/>
  <c r="AB22" i="11" s="1"/>
  <c r="Z22" i="11"/>
  <c r="X22" i="11"/>
  <c r="W22" i="11"/>
  <c r="O22" i="11"/>
  <c r="N22" i="11"/>
  <c r="K22" i="11"/>
  <c r="M22" i="11" s="1"/>
  <c r="H22" i="11"/>
  <c r="C22" i="11"/>
  <c r="AI21" i="11"/>
  <c r="AH21" i="11"/>
  <c r="AE21" i="11"/>
  <c r="AG21" i="11" s="1"/>
  <c r="AA21" i="11"/>
  <c r="Z21" i="11"/>
  <c r="X21" i="11"/>
  <c r="Y21" i="11" s="1"/>
  <c r="W21" i="11"/>
  <c r="O21" i="11"/>
  <c r="N21" i="11"/>
  <c r="K21" i="11"/>
  <c r="M21" i="11" s="1"/>
  <c r="H21" i="11"/>
  <c r="C21" i="11"/>
  <c r="AI20" i="11"/>
  <c r="AH20" i="11"/>
  <c r="AE20" i="11"/>
  <c r="AG20" i="11" s="1"/>
  <c r="AA20" i="11"/>
  <c r="AB20" i="11" s="1"/>
  <c r="X20" i="11"/>
  <c r="W20" i="11"/>
  <c r="O20" i="11"/>
  <c r="N20" i="11"/>
  <c r="K20" i="11"/>
  <c r="M20" i="11" s="1"/>
  <c r="AI19" i="11"/>
  <c r="AH19" i="11"/>
  <c r="AE19" i="11"/>
  <c r="AG19" i="11" s="1"/>
  <c r="AA19" i="11"/>
  <c r="X19" i="11"/>
  <c r="W19" i="11"/>
  <c r="O19" i="11"/>
  <c r="N19" i="11"/>
  <c r="K19" i="11"/>
  <c r="M19" i="11" s="1"/>
  <c r="AI18" i="11"/>
  <c r="AH18" i="11"/>
  <c r="AE18" i="11"/>
  <c r="AG18" i="11" s="1"/>
  <c r="AA18" i="11"/>
  <c r="X18" i="11"/>
  <c r="Z16" i="11" s="1"/>
  <c r="W18" i="11"/>
  <c r="O18" i="11"/>
  <c r="N18" i="11"/>
  <c r="M18" i="11"/>
  <c r="K18" i="11"/>
  <c r="AI17" i="11"/>
  <c r="AH17" i="11"/>
  <c r="AE17" i="11"/>
  <c r="AG17" i="11" s="1"/>
  <c r="AA17" i="11"/>
  <c r="AB17" i="11" s="1"/>
  <c r="Y17" i="11"/>
  <c r="X17" i="11"/>
  <c r="Z15" i="11" s="1"/>
  <c r="W17" i="11"/>
  <c r="O17" i="11"/>
  <c r="N17" i="11"/>
  <c r="K17" i="11"/>
  <c r="M17" i="11" s="1"/>
  <c r="AI16" i="11"/>
  <c r="AH16" i="11"/>
  <c r="AE16" i="11"/>
  <c r="AG16" i="11" s="1"/>
  <c r="AA16" i="11"/>
  <c r="X16" i="11"/>
  <c r="W16" i="11"/>
  <c r="O16" i="11"/>
  <c r="N16" i="11"/>
  <c r="K16" i="11"/>
  <c r="M16" i="11" s="1"/>
  <c r="AI15" i="11"/>
  <c r="AH15" i="11"/>
  <c r="AE15" i="11"/>
  <c r="AG15" i="11" s="1"/>
  <c r="AA15" i="11"/>
  <c r="AB15" i="11" s="1"/>
  <c r="X15" i="11"/>
  <c r="Z13" i="11" s="1"/>
  <c r="W15" i="11"/>
  <c r="O15" i="11"/>
  <c r="N15" i="11"/>
  <c r="K15" i="11"/>
  <c r="M15" i="11" s="1"/>
  <c r="AI14" i="11"/>
  <c r="AH14" i="11"/>
  <c r="AE14" i="11"/>
  <c r="AG14" i="11" s="1"/>
  <c r="AA14" i="11"/>
  <c r="X14" i="11"/>
  <c r="W14" i="11"/>
  <c r="O14" i="11"/>
  <c r="N14" i="11"/>
  <c r="K14" i="11"/>
  <c r="M14" i="11" s="1"/>
  <c r="AI13" i="11"/>
  <c r="AH13" i="11"/>
  <c r="AE13" i="11"/>
  <c r="AG13" i="11" s="1"/>
  <c r="AA13" i="11"/>
  <c r="AB13" i="11" s="1"/>
  <c r="X13" i="11"/>
  <c r="Z11" i="11" s="1"/>
  <c r="W13" i="11"/>
  <c r="O13" i="11"/>
  <c r="N13" i="11"/>
  <c r="K13" i="11"/>
  <c r="M13" i="11" s="1"/>
  <c r="AI12" i="11"/>
  <c r="AH12" i="11"/>
  <c r="AE12" i="11"/>
  <c r="AG12" i="11" s="1"/>
  <c r="AA12" i="11"/>
  <c r="X12" i="11"/>
  <c r="W12" i="11"/>
  <c r="O12" i="11"/>
  <c r="N12" i="11"/>
  <c r="M12" i="11"/>
  <c r="K12" i="11"/>
  <c r="AI11" i="11"/>
  <c r="AH11" i="11"/>
  <c r="AG11" i="11"/>
  <c r="AE11" i="11"/>
  <c r="AA11" i="11"/>
  <c r="AB11" i="11" s="1"/>
  <c r="X11" i="11"/>
  <c r="Z9" i="11" s="1"/>
  <c r="W11" i="11"/>
  <c r="O11" i="11"/>
  <c r="N11" i="11"/>
  <c r="K11" i="11"/>
  <c r="M11" i="11" s="1"/>
  <c r="AI10" i="11"/>
  <c r="AH10" i="11"/>
  <c r="AE10" i="11"/>
  <c r="AG10" i="11" s="1"/>
  <c r="AA10" i="11"/>
  <c r="X10" i="11"/>
  <c r="W10" i="11"/>
  <c r="O10" i="11"/>
  <c r="N10" i="11"/>
  <c r="K10" i="11"/>
  <c r="M10" i="11" s="1"/>
  <c r="AI9" i="11"/>
  <c r="AH9" i="11"/>
  <c r="AE9" i="11"/>
  <c r="AG9" i="11" s="1"/>
  <c r="AA9" i="11"/>
  <c r="AB9" i="11" s="1"/>
  <c r="Y9" i="11"/>
  <c r="X9" i="11"/>
  <c r="Z7" i="11" s="1"/>
  <c r="W9" i="11"/>
  <c r="O9" i="11"/>
  <c r="N9" i="11"/>
  <c r="K9" i="11"/>
  <c r="M9" i="11" s="1"/>
  <c r="AI8" i="11"/>
  <c r="AH8" i="11"/>
  <c r="AE8" i="11"/>
  <c r="AG8" i="11" s="1"/>
  <c r="AA8" i="11"/>
  <c r="AJ11" i="11" s="1"/>
  <c r="W8" i="11"/>
  <c r="O8" i="11"/>
  <c r="N8" i="11"/>
  <c r="K8" i="11"/>
  <c r="M8" i="11" s="1"/>
  <c r="AI7" i="11"/>
  <c r="AH7" i="11"/>
  <c r="AE7" i="11"/>
  <c r="AG7" i="11" s="1"/>
  <c r="AA7" i="11"/>
  <c r="AB7" i="11" s="1"/>
  <c r="W7" i="11"/>
  <c r="O7" i="11"/>
  <c r="N7" i="11"/>
  <c r="K7" i="11"/>
  <c r="M7" i="11" s="1"/>
  <c r="AE6" i="11"/>
  <c r="AG6" i="11" s="1"/>
  <c r="AA6" i="11"/>
  <c r="W6" i="11"/>
  <c r="K6" i="11"/>
  <c r="M6" i="11" s="1"/>
  <c r="E21" i="10"/>
  <c r="F21" i="10" s="1"/>
  <c r="E22" i="10"/>
  <c r="F22" i="10" s="1"/>
  <c r="E23" i="10"/>
  <c r="F23" i="10" s="1"/>
  <c r="E24" i="10"/>
  <c r="F24" i="10" s="1"/>
  <c r="E25" i="10"/>
  <c r="F25" i="10" s="1"/>
  <c r="E26" i="10"/>
  <c r="F26" i="10" s="1"/>
  <c r="E27" i="10"/>
  <c r="F27" i="10" s="1"/>
  <c r="E28" i="10"/>
  <c r="F28" i="10" s="1"/>
  <c r="E29" i="10"/>
  <c r="F29" i="10" s="1"/>
  <c r="E30" i="10"/>
  <c r="F30" i="10" s="1"/>
  <c r="E31" i="10"/>
  <c r="F31" i="10" s="1"/>
  <c r="E32" i="10"/>
  <c r="F32" i="10" s="1"/>
  <c r="E33" i="10"/>
  <c r="F33" i="10" s="1"/>
  <c r="E34" i="10"/>
  <c r="F34" i="10" s="1"/>
  <c r="E35" i="10"/>
  <c r="F35" i="10" s="1"/>
  <c r="E36" i="10"/>
  <c r="F36" i="10" s="1"/>
  <c r="E37" i="10"/>
  <c r="F37" i="10" s="1"/>
  <c r="E38" i="10"/>
  <c r="F38" i="10" s="1"/>
  <c r="E39" i="10"/>
  <c r="F39" i="10" s="1"/>
  <c r="E40" i="10"/>
  <c r="F40" i="10" s="1"/>
  <c r="E41" i="10"/>
  <c r="F41" i="10" s="1"/>
  <c r="E42" i="10"/>
  <c r="F42" i="10" s="1"/>
  <c r="E43" i="10"/>
  <c r="F43" i="10" s="1"/>
  <c r="E44" i="10"/>
  <c r="F44" i="10" s="1"/>
  <c r="E45" i="10"/>
  <c r="F45" i="10" s="1"/>
  <c r="E46" i="10"/>
  <c r="F46" i="10" s="1"/>
  <c r="E47" i="10"/>
  <c r="F47" i="10" s="1"/>
  <c r="E48" i="10"/>
  <c r="F48" i="10" s="1"/>
  <c r="E49" i="10"/>
  <c r="F49" i="10" s="1"/>
  <c r="E50" i="10"/>
  <c r="F50" i="10" s="1"/>
  <c r="E51" i="10"/>
  <c r="F51" i="10" s="1"/>
  <c r="E52" i="10"/>
  <c r="F52" i="10" s="1"/>
  <c r="E53" i="10"/>
  <c r="F53" i="10" s="1"/>
  <c r="E54" i="10"/>
  <c r="F54" i="10" s="1"/>
  <c r="E55" i="10"/>
  <c r="F55" i="10" s="1"/>
  <c r="E56" i="10"/>
  <c r="D91" i="21" s="1"/>
  <c r="E57" i="10"/>
  <c r="D92" i="21" s="1"/>
  <c r="E58" i="10"/>
  <c r="E59" i="10"/>
  <c r="E60" i="10"/>
  <c r="E61" i="10"/>
  <c r="E62" i="10"/>
  <c r="E63" i="10"/>
  <c r="E20" i="10"/>
  <c r="F20" i="10" s="1"/>
  <c r="B21" i="10"/>
  <c r="C21" i="10" s="1"/>
  <c r="B22" i="10"/>
  <c r="C22" i="10" s="1"/>
  <c r="B23" i="10"/>
  <c r="C23" i="10" s="1"/>
  <c r="B24" i="10"/>
  <c r="C24" i="10" s="1"/>
  <c r="B25" i="10"/>
  <c r="C25" i="10" s="1"/>
  <c r="B26" i="10"/>
  <c r="C26" i="10" s="1"/>
  <c r="B27" i="10"/>
  <c r="C27" i="10" s="1"/>
  <c r="B28" i="10"/>
  <c r="C28" i="10" s="1"/>
  <c r="B29" i="10"/>
  <c r="C29" i="10" s="1"/>
  <c r="B30" i="10"/>
  <c r="C30" i="10" s="1"/>
  <c r="B31" i="10"/>
  <c r="C31" i="10" s="1"/>
  <c r="B32" i="10"/>
  <c r="C32" i="10" s="1"/>
  <c r="B33" i="10"/>
  <c r="C33" i="10" s="1"/>
  <c r="B34" i="10"/>
  <c r="C34" i="10" s="1"/>
  <c r="B35" i="10"/>
  <c r="C35" i="10" s="1"/>
  <c r="B36" i="10"/>
  <c r="C36" i="10" s="1"/>
  <c r="B37" i="10"/>
  <c r="C37" i="10" s="1"/>
  <c r="B38" i="10"/>
  <c r="C38" i="10" s="1"/>
  <c r="B39" i="10"/>
  <c r="C39" i="10" s="1"/>
  <c r="B40" i="10"/>
  <c r="C40" i="10" s="1"/>
  <c r="B41" i="10"/>
  <c r="C41" i="10" s="1"/>
  <c r="B42" i="10"/>
  <c r="C42" i="10" s="1"/>
  <c r="B43" i="10"/>
  <c r="C43" i="10" s="1"/>
  <c r="B44" i="10"/>
  <c r="C44" i="10" s="1"/>
  <c r="B45" i="10"/>
  <c r="C45" i="10" s="1"/>
  <c r="B46" i="10"/>
  <c r="C46" i="10" s="1"/>
  <c r="B47" i="10"/>
  <c r="C47" i="10" s="1"/>
  <c r="B48" i="10"/>
  <c r="C48" i="10" s="1"/>
  <c r="B49" i="10"/>
  <c r="C49" i="10" s="1"/>
  <c r="B50" i="10"/>
  <c r="C50" i="10" s="1"/>
  <c r="B51" i="10"/>
  <c r="C51" i="10" s="1"/>
  <c r="B52" i="10"/>
  <c r="C52" i="10" s="1"/>
  <c r="B53" i="10"/>
  <c r="C53" i="10" s="1"/>
  <c r="B54" i="10"/>
  <c r="C54" i="10" s="1"/>
  <c r="B55" i="10"/>
  <c r="C55" i="10" s="1"/>
  <c r="B56" i="10"/>
  <c r="F91" i="21" s="1"/>
  <c r="B57" i="10"/>
  <c r="F92" i="21" s="1"/>
  <c r="B58" i="10"/>
  <c r="B59" i="10"/>
  <c r="B20" i="10"/>
  <c r="C20" i="10" s="1"/>
  <c r="C56" i="10" l="1"/>
  <c r="F62" i="10"/>
  <c r="D97" i="21"/>
  <c r="F57" i="10"/>
  <c r="F60" i="10"/>
  <c r="D95" i="21"/>
  <c r="F56" i="10"/>
  <c r="C58" i="10"/>
  <c r="F93" i="21"/>
  <c r="F58" i="10"/>
  <c r="D93" i="21"/>
  <c r="F61" i="10"/>
  <c r="D96" i="21"/>
  <c r="C59" i="10"/>
  <c r="F94" i="21"/>
  <c r="AQ13" i="19" s="1" a="1"/>
  <c r="F63" i="10"/>
  <c r="D98" i="21"/>
  <c r="F59" i="10"/>
  <c r="D94" i="21"/>
  <c r="C57" i="10"/>
  <c r="R37" i="9"/>
  <c r="Y37" i="9" s="1"/>
  <c r="S37" i="9"/>
  <c r="R38" i="9"/>
  <c r="Y38" i="9" s="1"/>
  <c r="S38" i="9"/>
  <c r="R34" i="9"/>
  <c r="S34" i="9"/>
  <c r="R35" i="9"/>
  <c r="S35" i="9"/>
  <c r="R41" i="9"/>
  <c r="Y41" i="9" s="1"/>
  <c r="S41" i="9"/>
  <c r="R36" i="9"/>
  <c r="Y36" i="9" s="1"/>
  <c r="S36" i="9"/>
  <c r="R30" i="9"/>
  <c r="S30" i="9"/>
  <c r="R33" i="9"/>
  <c r="S33" i="9"/>
  <c r="R31" i="9"/>
  <c r="Y31" i="9" s="1"/>
  <c r="S31" i="9"/>
  <c r="R32" i="9"/>
  <c r="Y32" i="9" s="1"/>
  <c r="S32" i="9"/>
  <c r="R40" i="9"/>
  <c r="Y40" i="9" s="1"/>
  <c r="S40" i="9"/>
  <c r="Z10" i="11"/>
  <c r="Y12" i="11"/>
  <c r="AN12" i="11" s="1"/>
  <c r="Z35" i="11"/>
  <c r="Y37" i="11"/>
  <c r="Y11" i="11"/>
  <c r="Z12" i="11"/>
  <c r="Y14" i="11"/>
  <c r="F23" i="11"/>
  <c r="E25" i="11"/>
  <c r="E29" i="11"/>
  <c r="F27" i="11"/>
  <c r="AJ41" i="11"/>
  <c r="AK13" i="11"/>
  <c r="Y13" i="11"/>
  <c r="Z14" i="11"/>
  <c r="AN14" i="11" s="1"/>
  <c r="Y16" i="11"/>
  <c r="AN16" i="11" s="1"/>
  <c r="Z8" i="11"/>
  <c r="Y10" i="11"/>
  <c r="AK15" i="11"/>
  <c r="Y15" i="11"/>
  <c r="Y18" i="11"/>
  <c r="Y20" i="11"/>
  <c r="Z18" i="11"/>
  <c r="P22" i="11"/>
  <c r="R22" i="11" s="1"/>
  <c r="AJ23" i="11"/>
  <c r="Z25" i="11"/>
  <c r="AN25" i="11" s="1"/>
  <c r="Y27" i="11"/>
  <c r="AN27" i="11" s="1"/>
  <c r="AJ31" i="11"/>
  <c r="F29" i="11"/>
  <c r="E31" i="11"/>
  <c r="AJ35" i="11"/>
  <c r="Q37" i="11"/>
  <c r="P38" i="11"/>
  <c r="F41" i="11"/>
  <c r="AK41" i="11"/>
  <c r="AL41" i="11" s="1"/>
  <c r="AM41" i="11" s="1"/>
  <c r="AJ42" i="11"/>
  <c r="D106" i="21"/>
  <c r="F43" i="11"/>
  <c r="E45" i="11"/>
  <c r="E35" i="11"/>
  <c r="F33" i="11"/>
  <c r="AK40" i="11"/>
  <c r="Y19" i="11"/>
  <c r="Z17" i="11"/>
  <c r="Q44" i="11"/>
  <c r="Y47" i="11"/>
  <c r="F110" i="21" s="1"/>
  <c r="E110" i="21"/>
  <c r="Z45" i="11"/>
  <c r="AK30" i="11"/>
  <c r="Q32" i="11"/>
  <c r="R32" i="11" s="1"/>
  <c r="S32" i="11" s="1"/>
  <c r="T32" i="11" s="1"/>
  <c r="E34" i="11"/>
  <c r="F32" i="11"/>
  <c r="Z36" i="11"/>
  <c r="Y38" i="11"/>
  <c r="AK42" i="11"/>
  <c r="T44" i="11"/>
  <c r="AL45" i="11"/>
  <c r="AJ27" i="11"/>
  <c r="AJ29" i="11"/>
  <c r="AN29" i="11"/>
  <c r="AJ33" i="11"/>
  <c r="AJ38" i="11"/>
  <c r="AL38" i="11" s="1"/>
  <c r="AM38" i="11" s="1"/>
  <c r="Q41" i="11"/>
  <c r="P9" i="11"/>
  <c r="P11" i="11"/>
  <c r="AJ12" i="11"/>
  <c r="P13" i="11"/>
  <c r="AJ14" i="11"/>
  <c r="AJ16" i="11"/>
  <c r="P17" i="11"/>
  <c r="AN23" i="11"/>
  <c r="AB24" i="11"/>
  <c r="AK24" i="11" s="1"/>
  <c r="AJ25" i="11"/>
  <c r="Q26" i="11"/>
  <c r="AN26" i="11"/>
  <c r="AB26" i="11"/>
  <c r="Q27" i="11"/>
  <c r="AB28" i="11"/>
  <c r="AK28" i="11" s="1"/>
  <c r="E32" i="11"/>
  <c r="AJ34" i="11"/>
  <c r="P35" i="11"/>
  <c r="AN40" i="11"/>
  <c r="Q42" i="11"/>
  <c r="Q45" i="11"/>
  <c r="R45" i="11" s="1"/>
  <c r="S45" i="11" s="1"/>
  <c r="D108" i="21"/>
  <c r="D109" i="21"/>
  <c r="Q40" i="11"/>
  <c r="D107" i="21"/>
  <c r="AJ10" i="11"/>
  <c r="AJ9" i="11"/>
  <c r="AN9" i="11"/>
  <c r="AN11" i="11"/>
  <c r="P12" i="11"/>
  <c r="P16" i="11"/>
  <c r="AJ18" i="11"/>
  <c r="Z19" i="11"/>
  <c r="P20" i="11"/>
  <c r="P21" i="11"/>
  <c r="Q22" i="11"/>
  <c r="T24" i="11"/>
  <c r="Q28" i="11"/>
  <c r="P32" i="11"/>
  <c r="Q33" i="11"/>
  <c r="AK34" i="11"/>
  <c r="F39" i="11"/>
  <c r="Q43" i="11"/>
  <c r="AJ45" i="11"/>
  <c r="D110" i="21"/>
  <c r="Y48" i="11"/>
  <c r="F111" i="21" s="1"/>
  <c r="E36" i="9"/>
  <c r="F36" i="9"/>
  <c r="E32" i="9"/>
  <c r="L32" i="9" s="1"/>
  <c r="F32" i="9"/>
  <c r="E37" i="9"/>
  <c r="F37" i="9"/>
  <c r="E30" i="9"/>
  <c r="F30" i="9"/>
  <c r="E34" i="9"/>
  <c r="F34" i="9"/>
  <c r="E33" i="9"/>
  <c r="F33" i="9"/>
  <c r="E35" i="9"/>
  <c r="F35" i="9"/>
  <c r="E31" i="9"/>
  <c r="L31" i="9" s="1"/>
  <c r="F31" i="9"/>
  <c r="F70" i="21"/>
  <c r="D9" i="20" s="1"/>
  <c r="F69" i="21"/>
  <c r="D8" i="20" s="1"/>
  <c r="U15" i="18"/>
  <c r="F71" i="21"/>
  <c r="D10" i="20" s="1"/>
  <c r="E7" i="18"/>
  <c r="U7" i="18"/>
  <c r="U6" i="18"/>
  <c r="E6" i="18"/>
  <c r="U8" i="18"/>
  <c r="E8" i="18"/>
  <c r="M33" i="9"/>
  <c r="AK9" i="11"/>
  <c r="AL9" i="11" s="1"/>
  <c r="AM9" i="11" s="1"/>
  <c r="AK11" i="11"/>
  <c r="AL11" i="11" s="1"/>
  <c r="AM11" i="11" s="1"/>
  <c r="E38" i="11"/>
  <c r="T38" i="11" s="1"/>
  <c r="F36" i="11"/>
  <c r="Z41" i="11"/>
  <c r="Y43" i="11"/>
  <c r="F106" i="21" s="1"/>
  <c r="AB10" i="11"/>
  <c r="AK10" i="11" s="1"/>
  <c r="AJ13" i="11"/>
  <c r="AL13" i="11" s="1"/>
  <c r="AM13" i="11" s="1"/>
  <c r="AN13" i="11" s="1"/>
  <c r="AB12" i="11"/>
  <c r="AK12" i="11" s="1"/>
  <c r="AL12" i="11" s="1"/>
  <c r="AM12" i="11" s="1"/>
  <c r="AJ15" i="11"/>
  <c r="AB16" i="11"/>
  <c r="AK16" i="11" s="1"/>
  <c r="AL16" i="11" s="1"/>
  <c r="AM16" i="11" s="1"/>
  <c r="AJ19" i="11"/>
  <c r="AB18" i="11"/>
  <c r="AK18" i="11" s="1"/>
  <c r="AJ21" i="11"/>
  <c r="E24" i="11"/>
  <c r="F22" i="11"/>
  <c r="P14" i="11"/>
  <c r="P15" i="11"/>
  <c r="Q23" i="11"/>
  <c r="R27" i="11"/>
  <c r="S27" i="11" s="1"/>
  <c r="T27" i="11" s="1"/>
  <c r="Y36" i="11"/>
  <c r="Z34" i="11"/>
  <c r="AN34" i="11" s="1"/>
  <c r="AL40" i="11"/>
  <c r="AM40" i="11" s="1"/>
  <c r="AB14" i="11"/>
  <c r="AK14" i="11" s="1"/>
  <c r="AL14" i="11" s="1"/>
  <c r="AM14" i="11" s="1"/>
  <c r="AJ17" i="11"/>
  <c r="Q21" i="11"/>
  <c r="R21" i="11" s="1"/>
  <c r="AK22" i="11"/>
  <c r="AB23" i="11"/>
  <c r="AK23" i="11" s="1"/>
  <c r="AL23" i="11" s="1"/>
  <c r="AM23" i="11" s="1"/>
  <c r="AJ26" i="11"/>
  <c r="AK43" i="11"/>
  <c r="AL43" i="11" s="1"/>
  <c r="P10" i="11"/>
  <c r="Y40" i="11"/>
  <c r="Z38" i="11"/>
  <c r="AN38" i="11" s="1"/>
  <c r="AB6" i="11"/>
  <c r="Q25" i="11"/>
  <c r="P25" i="11"/>
  <c r="P26" i="11"/>
  <c r="R26" i="11" s="1"/>
  <c r="S26" i="11" s="1"/>
  <c r="AJ32" i="11"/>
  <c r="AB29" i="11"/>
  <c r="AK29" i="11" s="1"/>
  <c r="AL29" i="11" s="1"/>
  <c r="AM29" i="11" s="1"/>
  <c r="Y31" i="11"/>
  <c r="AN31" i="11" s="1"/>
  <c r="Z29" i="11"/>
  <c r="P33" i="11"/>
  <c r="AK17" i="11"/>
  <c r="AL17" i="11" s="1"/>
  <c r="AM17" i="11" s="1"/>
  <c r="AN17" i="11" s="1"/>
  <c r="AK20" i="11"/>
  <c r="E28" i="11"/>
  <c r="F26" i="11"/>
  <c r="T26" i="11" s="1"/>
  <c r="Q30" i="11"/>
  <c r="Z40" i="11"/>
  <c r="Y42" i="11"/>
  <c r="P19" i="11"/>
  <c r="P23" i="11"/>
  <c r="AK26" i="11"/>
  <c r="AL26" i="11" s="1"/>
  <c r="AM26" i="11" s="1"/>
  <c r="AJ30" i="11"/>
  <c r="AL30" i="11" s="1"/>
  <c r="AM30" i="11" s="1"/>
  <c r="AN30" i="11" s="1"/>
  <c r="AB27" i="11"/>
  <c r="AK27" i="11" s="1"/>
  <c r="AL27" i="11" s="1"/>
  <c r="AM27" i="11" s="1"/>
  <c r="E33" i="11"/>
  <c r="T33" i="11" s="1"/>
  <c r="F31" i="11"/>
  <c r="P34" i="11"/>
  <c r="AJ39" i="11"/>
  <c r="AL39" i="11" s="1"/>
  <c r="AM39" i="11" s="1"/>
  <c r="AB36" i="11"/>
  <c r="AK36" i="11" s="1"/>
  <c r="Q38" i="11"/>
  <c r="R38" i="11" s="1"/>
  <c r="S38" i="11" s="1"/>
  <c r="Y39" i="11"/>
  <c r="AN39" i="11" s="1"/>
  <c r="Z37" i="11"/>
  <c r="Z39" i="11"/>
  <c r="Y41" i="11"/>
  <c r="AN41" i="11" s="1"/>
  <c r="AK44" i="11"/>
  <c r="AL44" i="11" s="1"/>
  <c r="AK46" i="11"/>
  <c r="AJ20" i="11"/>
  <c r="P29" i="11"/>
  <c r="R29" i="11" s="1"/>
  <c r="S29" i="11" s="1"/>
  <c r="P30" i="11"/>
  <c r="Q31" i="11"/>
  <c r="R33" i="11"/>
  <c r="S33" i="11" s="1"/>
  <c r="AL34" i="11"/>
  <c r="AM34" i="11" s="1"/>
  <c r="AB37" i="11"/>
  <c r="AK37" i="11" s="1"/>
  <c r="AJ40" i="11"/>
  <c r="AB8" i="11"/>
  <c r="AK8" i="11" s="1"/>
  <c r="P18" i="11"/>
  <c r="AJ22" i="11"/>
  <c r="AB19" i="11"/>
  <c r="AK19" i="11" s="1"/>
  <c r="AJ24" i="11"/>
  <c r="AL24" i="11" s="1"/>
  <c r="AM24" i="11" s="1"/>
  <c r="AN24" i="11" s="1"/>
  <c r="AB21" i="11"/>
  <c r="AK21" i="11" s="1"/>
  <c r="AL21" i="11" s="1"/>
  <c r="AM21" i="11" s="1"/>
  <c r="AN21" i="11" s="1"/>
  <c r="Y22" i="11"/>
  <c r="Z20" i="11"/>
  <c r="Q24" i="11"/>
  <c r="R24" i="11" s="1"/>
  <c r="S24" i="11" s="1"/>
  <c r="AJ28" i="11"/>
  <c r="AL28" i="11" s="1"/>
  <c r="AM28" i="11" s="1"/>
  <c r="AN28" i="11" s="1"/>
  <c r="AB25" i="11"/>
  <c r="AK25" i="11" s="1"/>
  <c r="AL25" i="11" s="1"/>
  <c r="AM25" i="11" s="1"/>
  <c r="P28" i="11"/>
  <c r="AK31" i="11"/>
  <c r="AL31" i="11" s="1"/>
  <c r="AM31" i="11" s="1"/>
  <c r="AK32" i="11"/>
  <c r="AL32" i="11" s="1"/>
  <c r="AM32" i="11" s="1"/>
  <c r="AN32" i="11" s="1"/>
  <c r="AJ37" i="11"/>
  <c r="Q36" i="11"/>
  <c r="Q39" i="11"/>
  <c r="Z42" i="11"/>
  <c r="Y44" i="11"/>
  <c r="F107" i="21" s="1"/>
  <c r="AJ47" i="11"/>
  <c r="Z26" i="11"/>
  <c r="AJ36" i="11"/>
  <c r="AB33" i="11"/>
  <c r="AK33" i="11" s="1"/>
  <c r="AL33" i="11" s="1"/>
  <c r="AM33" i="11" s="1"/>
  <c r="AN33" i="11" s="1"/>
  <c r="P36" i="11"/>
  <c r="P37" i="11"/>
  <c r="R37" i="11" s="1"/>
  <c r="S37" i="11" s="1"/>
  <c r="T37" i="11" s="1"/>
  <c r="P39" i="11"/>
  <c r="P41" i="11"/>
  <c r="R41" i="11" s="1"/>
  <c r="S41" i="11" s="1"/>
  <c r="T41" i="11" s="1"/>
  <c r="P43" i="11"/>
  <c r="AJ46" i="11"/>
  <c r="AK47" i="11"/>
  <c r="AL47" i="11" s="1"/>
  <c r="AJ48" i="11"/>
  <c r="AJ49" i="11"/>
  <c r="P27" i="11"/>
  <c r="P31" i="11"/>
  <c r="Q34" i="11"/>
  <c r="R34" i="11" s="1"/>
  <c r="S34" i="11" s="1"/>
  <c r="T34" i="11" s="1"/>
  <c r="Q35" i="11"/>
  <c r="AK35" i="11"/>
  <c r="AL35" i="11" s="1"/>
  <c r="AM35" i="11" s="1"/>
  <c r="AN35" i="11" s="1"/>
  <c r="P40" i="11"/>
  <c r="R40" i="11" s="1"/>
  <c r="S40" i="11" s="1"/>
  <c r="T40" i="11" s="1"/>
  <c r="P42" i="11"/>
  <c r="R42" i="11" s="1"/>
  <c r="S42" i="11" s="1"/>
  <c r="T42" i="11" s="1"/>
  <c r="P44" i="11"/>
  <c r="R44" i="11" s="1"/>
  <c r="S44" i="11" s="1"/>
  <c r="P46" i="11"/>
  <c r="R46" i="11" s="1"/>
  <c r="S46" i="11" s="1"/>
  <c r="AK48" i="11"/>
  <c r="AK49" i="11"/>
  <c r="AL49" i="11" s="1"/>
  <c r="AQ11" i="19" l="1" a="1"/>
  <c r="AR11" i="19" s="1"/>
  <c r="AQ13" i="19"/>
  <c r="AT13" i="19"/>
  <c r="AS13" i="19"/>
  <c r="AR13" i="19"/>
  <c r="AN19" i="11"/>
  <c r="T45" i="11"/>
  <c r="T29" i="11"/>
  <c r="AN36" i="11"/>
  <c r="AL37" i="11"/>
  <c r="AM37" i="11" s="1"/>
  <c r="AN37" i="11" s="1"/>
  <c r="AL18" i="11"/>
  <c r="AM18" i="11" s="1"/>
  <c r="AN18" i="11" s="1"/>
  <c r="G112" i="21"/>
  <c r="AM49" i="11"/>
  <c r="H112" i="21" s="1"/>
  <c r="AL48" i="11"/>
  <c r="G111" i="21" s="1"/>
  <c r="AM47" i="11"/>
  <c r="G110" i="21"/>
  <c r="AM44" i="11"/>
  <c r="H107" i="21" s="1"/>
  <c r="G107" i="21"/>
  <c r="AM43" i="11"/>
  <c r="G106" i="21"/>
  <c r="AM45" i="11"/>
  <c r="G108" i="21"/>
  <c r="R39" i="11"/>
  <c r="S39" i="11" s="1"/>
  <c r="T39" i="11" s="1"/>
  <c r="AL10" i="11"/>
  <c r="AM10" i="11" s="1"/>
  <c r="AN10" i="11" s="1"/>
  <c r="AN44" i="11"/>
  <c r="I107" i="21" s="1"/>
  <c r="R35" i="11"/>
  <c r="S35" i="11" s="1"/>
  <c r="T35" i="11" s="1"/>
  <c r="R43" i="11"/>
  <c r="S43" i="11" s="1"/>
  <c r="T43" i="11" s="1"/>
  <c r="R28" i="11"/>
  <c r="S28" i="11" s="1"/>
  <c r="T28" i="11" s="1"/>
  <c r="AL19" i="11"/>
  <c r="AM19" i="11" s="1"/>
  <c r="AL46" i="11"/>
  <c r="R25" i="11"/>
  <c r="S25" i="11" s="1"/>
  <c r="T25" i="11" s="1"/>
  <c r="AL15" i="11"/>
  <c r="AM15" i="11" s="1"/>
  <c r="AN15" i="11" s="1"/>
  <c r="AL42" i="11"/>
  <c r="AM42" i="11" s="1"/>
  <c r="AN42" i="11" s="1"/>
  <c r="F68" i="21"/>
  <c r="D7" i="20" s="1"/>
  <c r="F66" i="21"/>
  <c r="D5" i="20" s="1"/>
  <c r="F67" i="21"/>
  <c r="D6" i="20" s="1"/>
  <c r="AL22" i="11"/>
  <c r="AM22" i="11" s="1"/>
  <c r="AN22" i="11" s="1"/>
  <c r="R36" i="11"/>
  <c r="S36" i="11" s="1"/>
  <c r="T36" i="11" s="1"/>
  <c r="R30" i="11"/>
  <c r="S30" i="11" s="1"/>
  <c r="T30" i="11" s="1"/>
  <c r="R31" i="11"/>
  <c r="S31" i="11" s="1"/>
  <c r="T31" i="11" s="1"/>
  <c r="AL36" i="11"/>
  <c r="AM36" i="11" s="1"/>
  <c r="AL20" i="11"/>
  <c r="AM20" i="11" s="1"/>
  <c r="AN20" i="11" s="1"/>
  <c r="R23" i="11"/>
  <c r="AS11" i="19" l="1"/>
  <c r="AU11" i="19"/>
  <c r="AT11" i="19"/>
  <c r="AV11" i="19"/>
  <c r="AW11" i="19"/>
  <c r="AX11" i="19"/>
  <c r="AQ11" i="19"/>
  <c r="H106" i="21"/>
  <c r="AN43" i="11"/>
  <c r="I106" i="21" s="1"/>
  <c r="H110" i="21"/>
  <c r="AN47" i="11"/>
  <c r="I110" i="21" s="1"/>
  <c r="G109" i="21"/>
  <c r="AM46" i="11"/>
  <c r="H108" i="21"/>
  <c r="AN45" i="11"/>
  <c r="I108" i="21" s="1"/>
  <c r="AM48" i="11"/>
  <c r="H111" i="21" s="1"/>
  <c r="Y56" i="8"/>
  <c r="H55" i="10" s="1"/>
  <c r="I55" i="10" s="1"/>
  <c r="Y57" i="8"/>
  <c r="H56" i="10" s="1"/>
  <c r="I56" i="10" s="1"/>
  <c r="Y58" i="8"/>
  <c r="H57" i="10" s="1"/>
  <c r="I57" i="10" s="1"/>
  <c r="Y59" i="8"/>
  <c r="H58" i="10" s="1"/>
  <c r="I58" i="10" s="1"/>
  <c r="AC57" i="8"/>
  <c r="AC58" i="8"/>
  <c r="AC59" i="8"/>
  <c r="AC60" i="8"/>
  <c r="AC61" i="8"/>
  <c r="AC56" i="8"/>
  <c r="Z57" i="8"/>
  <c r="Z58" i="8"/>
  <c r="Z59" i="8"/>
  <c r="Z60" i="8"/>
  <c r="Z61" i="8"/>
  <c r="Z56" i="8"/>
  <c r="Y61" i="8"/>
  <c r="H60" i="10" s="1"/>
  <c r="I60" i="10" s="1"/>
  <c r="Y60" i="8"/>
  <c r="H59" i="10" s="1"/>
  <c r="I59" i="10" s="1"/>
  <c r="H109" i="21" l="1"/>
  <c r="AQ18" i="19" s="1" a="1"/>
  <c r="AN46" i="11"/>
  <c r="I109" i="21" s="1"/>
  <c r="H66" i="5"/>
  <c r="D66" i="5"/>
  <c r="O64" i="4"/>
  <c r="D63" i="4"/>
  <c r="U61" i="8"/>
  <c r="S21" i="8"/>
  <c r="L66" i="5" l="1"/>
  <c r="AQ18" i="19"/>
  <c r="AV24" i="19"/>
  <c r="AR20" i="19"/>
  <c r="AU24" i="19"/>
  <c r="AS22" i="19"/>
  <c r="AQ20" i="19"/>
  <c r="AT24" i="19"/>
  <c r="AR22" i="19"/>
  <c r="AW19" i="19"/>
  <c r="AW24" i="19"/>
  <c r="AU22" i="19"/>
  <c r="AS20" i="19"/>
  <c r="AQ23" i="19"/>
  <c r="AV20" i="19"/>
  <c r="AT18" i="19"/>
  <c r="AW22" i="19"/>
  <c r="AU20" i="19"/>
  <c r="AS18" i="19"/>
  <c r="AV22" i="19"/>
  <c r="AT20" i="19"/>
  <c r="AR18" i="19"/>
  <c r="AR23" i="19"/>
  <c r="AW20" i="19"/>
  <c r="AU18" i="19"/>
  <c r="AT22" i="19"/>
  <c r="AR24" i="19"/>
  <c r="AU19" i="19"/>
  <c r="AV21" i="19"/>
  <c r="AW23" i="19"/>
  <c r="AS19" i="19"/>
  <c r="AQ22" i="19"/>
  <c r="AQ24" i="19"/>
  <c r="AU23" i="19"/>
  <c r="AQ19" i="19"/>
  <c r="AR21" i="19"/>
  <c r="AS23" i="19"/>
  <c r="AV18" i="19"/>
  <c r="AT21" i="19"/>
  <c r="AW21" i="19"/>
  <c r="AT19" i="19"/>
  <c r="AU21" i="19"/>
  <c r="AS24" i="19"/>
  <c r="AV19" i="19"/>
  <c r="AW18" i="19"/>
  <c r="AQ21" i="19"/>
  <c r="AS21" i="19"/>
  <c r="AV23" i="19"/>
  <c r="AT23" i="19"/>
  <c r="AR19" i="19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8" i="6"/>
  <c r="H8" i="6"/>
  <c r="H9" i="6"/>
  <c r="H10" i="6"/>
  <c r="H11" i="6"/>
  <c r="H12" i="6"/>
  <c r="H13" i="6"/>
  <c r="H14" i="6"/>
  <c r="H15" i="6"/>
  <c r="H16" i="6"/>
  <c r="H17" i="6"/>
  <c r="H18" i="6"/>
  <c r="H19" i="6"/>
  <c r="H20" i="6"/>
  <c r="H21" i="6"/>
  <c r="H22" i="6"/>
  <c r="H23" i="6"/>
  <c r="H24" i="6"/>
  <c r="H25" i="6"/>
  <c r="H26" i="6"/>
  <c r="H27" i="6"/>
  <c r="H28" i="6"/>
  <c r="H29" i="6"/>
  <c r="H30" i="6"/>
  <c r="H31" i="6"/>
  <c r="H32" i="6"/>
  <c r="H33" i="6"/>
  <c r="H34" i="6"/>
  <c r="H35" i="6"/>
  <c r="H36" i="6"/>
  <c r="H37" i="6"/>
  <c r="H38" i="6"/>
  <c r="H39" i="6"/>
  <c r="H40" i="6"/>
  <c r="H41" i="6"/>
  <c r="H42" i="6"/>
  <c r="H43" i="6"/>
  <c r="H44" i="6"/>
  <c r="H45" i="6"/>
  <c r="H46" i="6"/>
  <c r="H47" i="6"/>
  <c r="H48" i="6"/>
  <c r="H49" i="6"/>
  <c r="H50" i="6"/>
  <c r="H51" i="6"/>
  <c r="H52" i="6"/>
  <c r="H53" i="6"/>
  <c r="H54" i="6"/>
  <c r="H55" i="6"/>
  <c r="H56" i="6"/>
  <c r="H57" i="6"/>
  <c r="H58" i="6"/>
  <c r="H59" i="6"/>
  <c r="H60" i="6"/>
  <c r="H61" i="6"/>
  <c r="H62" i="6"/>
  <c r="H63" i="6"/>
  <c r="H64" i="6"/>
  <c r="H65" i="6"/>
  <c r="H66" i="6"/>
  <c r="X15" i="1"/>
  <c r="X16" i="1"/>
  <c r="X17" i="1"/>
  <c r="X18" i="1"/>
  <c r="X19" i="1"/>
  <c r="X20" i="1"/>
  <c r="X21" i="1"/>
  <c r="X22" i="1"/>
  <c r="X23" i="1"/>
  <c r="X24" i="1"/>
  <c r="X25" i="1"/>
  <c r="X26" i="1"/>
  <c r="X27" i="1"/>
  <c r="X28" i="1"/>
  <c r="X29" i="1"/>
  <c r="X30" i="1"/>
  <c r="X31" i="1"/>
  <c r="X32" i="1"/>
  <c r="X33" i="1"/>
  <c r="X34" i="1"/>
  <c r="X35" i="1"/>
  <c r="X36" i="1"/>
  <c r="X37" i="1"/>
  <c r="X38" i="1"/>
  <c r="X39" i="1"/>
  <c r="X40" i="1"/>
  <c r="X41" i="1"/>
  <c r="X42" i="1"/>
  <c r="X43" i="1"/>
  <c r="X44" i="1"/>
  <c r="X45" i="1"/>
  <c r="X46" i="1"/>
  <c r="X47" i="1"/>
  <c r="X48" i="1"/>
  <c r="X49" i="1"/>
  <c r="X50" i="1"/>
  <c r="X51" i="1"/>
  <c r="X52" i="1"/>
  <c r="X53" i="1"/>
  <c r="X54" i="1"/>
  <c r="X55" i="1"/>
  <c r="X56" i="1"/>
  <c r="X57" i="1"/>
  <c r="X58" i="1"/>
  <c r="X59" i="1"/>
  <c r="X60" i="1"/>
  <c r="X61" i="1"/>
  <c r="X62" i="1"/>
  <c r="X63" i="1"/>
  <c r="X64" i="1"/>
  <c r="X65" i="1"/>
  <c r="X66" i="1"/>
  <c r="X67" i="1"/>
  <c r="X14" i="1"/>
  <c r="R66" i="1"/>
  <c r="R67" i="1"/>
  <c r="R65" i="1"/>
  <c r="K65" i="6" l="1"/>
  <c r="K61" i="6"/>
  <c r="K57" i="6"/>
  <c r="K53" i="6"/>
  <c r="K49" i="6"/>
  <c r="K45" i="6"/>
  <c r="K41" i="6"/>
  <c r="K37" i="6"/>
  <c r="K33" i="6"/>
  <c r="K29" i="6"/>
  <c r="K25" i="6"/>
  <c r="K21" i="6"/>
  <c r="K17" i="6"/>
  <c r="E65" i="6"/>
  <c r="E61" i="6"/>
  <c r="E57" i="6"/>
  <c r="T57" i="6"/>
  <c r="E53" i="6"/>
  <c r="E49" i="6"/>
  <c r="E45" i="6"/>
  <c r="E41" i="6"/>
  <c r="E37" i="6"/>
  <c r="E33" i="6"/>
  <c r="E29" i="6"/>
  <c r="E25" i="6"/>
  <c r="E21" i="6"/>
  <c r="E17" i="6"/>
  <c r="K63" i="6"/>
  <c r="K59" i="6"/>
  <c r="K55" i="6"/>
  <c r="K51" i="6"/>
  <c r="K47" i="6"/>
  <c r="K43" i="6"/>
  <c r="K39" i="6"/>
  <c r="K35" i="6"/>
  <c r="K31" i="6"/>
  <c r="K27" i="6"/>
  <c r="K23" i="6"/>
  <c r="K19" i="6"/>
  <c r="E63" i="6"/>
  <c r="E59" i="6"/>
  <c r="Q59" i="6" s="1"/>
  <c r="E55" i="6"/>
  <c r="Q55" i="6" s="1"/>
  <c r="E51" i="6"/>
  <c r="Q51" i="6" s="1"/>
  <c r="E47" i="6"/>
  <c r="Q47" i="6" s="1"/>
  <c r="E43" i="6"/>
  <c r="E39" i="6"/>
  <c r="Q39" i="6" s="1"/>
  <c r="E35" i="6"/>
  <c r="Q35" i="6" s="1"/>
  <c r="E31" i="6"/>
  <c r="Q31" i="6" s="1"/>
  <c r="E27" i="6"/>
  <c r="Q27" i="6" s="1"/>
  <c r="E23" i="6"/>
  <c r="Q23" i="6" s="1"/>
  <c r="E19" i="6"/>
  <c r="Q19" i="6" s="1"/>
  <c r="K64" i="6"/>
  <c r="K60" i="6"/>
  <c r="K56" i="6"/>
  <c r="K52" i="6"/>
  <c r="K48" i="6"/>
  <c r="K44" i="6"/>
  <c r="K40" i="6"/>
  <c r="K36" i="6"/>
  <c r="K32" i="6"/>
  <c r="K28" i="6"/>
  <c r="K24" i="6"/>
  <c r="K20" i="6"/>
  <c r="K16" i="6"/>
  <c r="E64" i="6"/>
  <c r="E60" i="6"/>
  <c r="E56" i="6"/>
  <c r="E52" i="6"/>
  <c r="E48" i="6"/>
  <c r="E44" i="6"/>
  <c r="E40" i="6"/>
  <c r="E36" i="6"/>
  <c r="E32" i="6"/>
  <c r="E28" i="6"/>
  <c r="E24" i="6"/>
  <c r="E20" i="6"/>
  <c r="E16" i="6"/>
  <c r="K66" i="6"/>
  <c r="K62" i="6"/>
  <c r="K58" i="6"/>
  <c r="K54" i="6"/>
  <c r="K50" i="6"/>
  <c r="K46" i="6"/>
  <c r="K42" i="6"/>
  <c r="K38" i="6"/>
  <c r="K34" i="6"/>
  <c r="K30" i="6"/>
  <c r="K26" i="6"/>
  <c r="K22" i="6"/>
  <c r="K18" i="6"/>
  <c r="E66" i="6"/>
  <c r="E62" i="6"/>
  <c r="E58" i="6"/>
  <c r="E54" i="6"/>
  <c r="E50" i="6"/>
  <c r="E46" i="6"/>
  <c r="E42" i="6"/>
  <c r="E38" i="6"/>
  <c r="E34" i="6"/>
  <c r="E30" i="6"/>
  <c r="E26" i="6"/>
  <c r="E22" i="6"/>
  <c r="E18" i="6"/>
  <c r="T65" i="6"/>
  <c r="T61" i="6"/>
  <c r="T63" i="6"/>
  <c r="T64" i="6"/>
  <c r="T60" i="6"/>
  <c r="T59" i="6"/>
  <c r="T66" i="6"/>
  <c r="T62" i="6"/>
  <c r="T58" i="6"/>
  <c r="N66" i="6"/>
  <c r="D64" i="1"/>
  <c r="C64" i="1"/>
  <c r="C16" i="1"/>
  <c r="K64" i="5"/>
  <c r="J66" i="5"/>
  <c r="J65" i="5"/>
  <c r="K65" i="5"/>
  <c r="K66" i="5"/>
  <c r="H65" i="5"/>
  <c r="W59" i="6" l="1"/>
  <c r="W61" i="6"/>
  <c r="Q16" i="6"/>
  <c r="Q32" i="6"/>
  <c r="Q48" i="6"/>
  <c r="Q64" i="6"/>
  <c r="Q17" i="6"/>
  <c r="Q33" i="6"/>
  <c r="Q49" i="6"/>
  <c r="Q61" i="6"/>
  <c r="Q65" i="6"/>
  <c r="Q45" i="6"/>
  <c r="Q29" i="6"/>
  <c r="W66" i="6"/>
  <c r="Q25" i="6"/>
  <c r="Q41" i="6"/>
  <c r="Q57" i="6"/>
  <c r="Q21" i="6"/>
  <c r="Q37" i="6"/>
  <c r="Q53" i="6"/>
  <c r="W58" i="6"/>
  <c r="W65" i="6"/>
  <c r="Q30" i="6"/>
  <c r="Q62" i="6"/>
  <c r="W63" i="6"/>
  <c r="Q43" i="6"/>
  <c r="Q28" i="6"/>
  <c r="Q44" i="6"/>
  <c r="Q60" i="6"/>
  <c r="Q63" i="6"/>
  <c r="W60" i="6"/>
  <c r="W62" i="6"/>
  <c r="W64" i="6"/>
  <c r="Q18" i="6"/>
  <c r="Q34" i="6"/>
  <c r="Q50" i="6"/>
  <c r="E64" i="1"/>
  <c r="F64" i="1" s="1"/>
  <c r="Q66" i="6"/>
  <c r="Q22" i="6"/>
  <c r="Q38" i="6"/>
  <c r="Q54" i="6"/>
  <c r="Q20" i="6"/>
  <c r="Q36" i="6"/>
  <c r="Q52" i="6"/>
  <c r="Q46" i="6"/>
  <c r="Q26" i="6"/>
  <c r="Q42" i="6"/>
  <c r="Q58" i="6"/>
  <c r="Q24" i="6"/>
  <c r="Q40" i="6"/>
  <c r="Q56" i="6"/>
  <c r="AC66" i="2"/>
  <c r="O65" i="2"/>
  <c r="E63" i="4"/>
  <c r="G63" i="4" s="1"/>
  <c r="E12" i="4"/>
  <c r="G12" i="4" s="1"/>
  <c r="E13" i="4"/>
  <c r="G13" i="4" s="1"/>
  <c r="E14" i="4"/>
  <c r="G14" i="4" s="1"/>
  <c r="E15" i="4"/>
  <c r="G15" i="4" s="1"/>
  <c r="E16" i="4"/>
  <c r="G16" i="4" s="1"/>
  <c r="E17" i="4"/>
  <c r="G17" i="4" s="1"/>
  <c r="E18" i="4"/>
  <c r="G18" i="4" s="1"/>
  <c r="E19" i="4"/>
  <c r="G19" i="4" s="1"/>
  <c r="E20" i="4"/>
  <c r="G20" i="4" s="1"/>
  <c r="E21" i="4"/>
  <c r="G21" i="4" s="1"/>
  <c r="E22" i="4"/>
  <c r="G22" i="4" s="1"/>
  <c r="E23" i="4"/>
  <c r="G23" i="4" s="1"/>
  <c r="E24" i="4"/>
  <c r="G24" i="4" s="1"/>
  <c r="E25" i="4"/>
  <c r="G25" i="4" s="1"/>
  <c r="E26" i="4"/>
  <c r="G26" i="4" s="1"/>
  <c r="E27" i="4"/>
  <c r="G27" i="4" s="1"/>
  <c r="E28" i="4"/>
  <c r="G28" i="4" s="1"/>
  <c r="E29" i="4"/>
  <c r="G29" i="4" s="1"/>
  <c r="E30" i="4"/>
  <c r="G30" i="4" s="1"/>
  <c r="E31" i="4"/>
  <c r="G31" i="4" s="1"/>
  <c r="E32" i="4"/>
  <c r="G32" i="4" s="1"/>
  <c r="E33" i="4"/>
  <c r="G33" i="4" s="1"/>
  <c r="E34" i="4"/>
  <c r="G34" i="4" s="1"/>
  <c r="E35" i="4"/>
  <c r="G35" i="4" s="1"/>
  <c r="E36" i="4"/>
  <c r="G36" i="4" s="1"/>
  <c r="E37" i="4"/>
  <c r="G37" i="4" s="1"/>
  <c r="E38" i="4"/>
  <c r="G38" i="4" s="1"/>
  <c r="E39" i="4"/>
  <c r="G39" i="4" s="1"/>
  <c r="E40" i="4"/>
  <c r="G40" i="4" s="1"/>
  <c r="E41" i="4"/>
  <c r="G41" i="4" s="1"/>
  <c r="E42" i="4"/>
  <c r="G42" i="4" s="1"/>
  <c r="E43" i="4"/>
  <c r="G43" i="4" s="1"/>
  <c r="E44" i="4"/>
  <c r="G44" i="4" s="1"/>
  <c r="E45" i="4"/>
  <c r="G45" i="4" s="1"/>
  <c r="E46" i="4"/>
  <c r="G46" i="4" s="1"/>
  <c r="E47" i="4"/>
  <c r="G47" i="4" s="1"/>
  <c r="E48" i="4"/>
  <c r="G48" i="4" s="1"/>
  <c r="E49" i="4"/>
  <c r="G49" i="4" s="1"/>
  <c r="E50" i="4"/>
  <c r="G50" i="4" s="1"/>
  <c r="E51" i="4"/>
  <c r="G51" i="4" s="1"/>
  <c r="E52" i="4"/>
  <c r="G52" i="4" s="1"/>
  <c r="E53" i="4"/>
  <c r="G53" i="4" s="1"/>
  <c r="E54" i="4"/>
  <c r="G54" i="4" s="1"/>
  <c r="E55" i="4"/>
  <c r="G55" i="4" s="1"/>
  <c r="E56" i="4"/>
  <c r="G56" i="4" s="1"/>
  <c r="E57" i="4"/>
  <c r="G57" i="4" s="1"/>
  <c r="E58" i="4"/>
  <c r="G58" i="4" s="1"/>
  <c r="E59" i="4"/>
  <c r="G59" i="4" s="1"/>
  <c r="E60" i="4"/>
  <c r="G60" i="4" s="1"/>
  <c r="E61" i="4"/>
  <c r="G61" i="4" s="1"/>
  <c r="E62" i="4"/>
  <c r="G62" i="4" s="1"/>
  <c r="E11" i="4"/>
  <c r="P11" i="4"/>
  <c r="AF61" i="4"/>
  <c r="D8" i="4"/>
  <c r="AA11" i="4" l="1"/>
  <c r="G11" i="4"/>
  <c r="S61" i="8" l="1"/>
  <c r="S22" i="8"/>
  <c r="S23" i="8"/>
  <c r="S24" i="8"/>
  <c r="S25" i="8"/>
  <c r="S26" i="8"/>
  <c r="S27" i="8"/>
  <c r="S28" i="8"/>
  <c r="S29" i="8"/>
  <c r="S30" i="8"/>
  <c r="S31" i="8"/>
  <c r="S32" i="8"/>
  <c r="S33" i="8"/>
  <c r="S34" i="8"/>
  <c r="S35" i="8"/>
  <c r="S36" i="8"/>
  <c r="S37" i="8"/>
  <c r="S38" i="8"/>
  <c r="S39" i="8"/>
  <c r="S40" i="8"/>
  <c r="S41" i="8"/>
  <c r="S42" i="8"/>
  <c r="S43" i="8"/>
  <c r="S44" i="8"/>
  <c r="S45" i="8"/>
  <c r="S46" i="8"/>
  <c r="S47" i="8"/>
  <c r="S48" i="8"/>
  <c r="S49" i="8"/>
  <c r="S50" i="8"/>
  <c r="S51" i="8"/>
  <c r="S52" i="8"/>
  <c r="S53" i="8"/>
  <c r="S54" i="8"/>
  <c r="S55" i="8"/>
  <c r="S56" i="8"/>
  <c r="S57" i="8"/>
  <c r="S58" i="8"/>
  <c r="S59" i="8"/>
  <c r="S60" i="8"/>
  <c r="J64" i="5" l="1"/>
  <c r="N65" i="6" l="1"/>
  <c r="R64" i="1"/>
  <c r="L65" i="1"/>
  <c r="K65" i="1"/>
  <c r="M65" i="1" l="1"/>
  <c r="N65" i="1" s="1"/>
  <c r="AF66" i="4"/>
  <c r="AB65" i="4"/>
  <c r="AB66" i="4"/>
  <c r="AD65" i="4"/>
  <c r="AD66" i="4"/>
  <c r="AF65" i="4"/>
  <c r="K62" i="5" l="1"/>
  <c r="O8" i="4"/>
  <c r="X63" i="4" l="1"/>
  <c r="X62" i="4"/>
  <c r="R11" i="4"/>
  <c r="P12" i="4"/>
  <c r="AA12" i="4" s="1"/>
  <c r="P13" i="4"/>
  <c r="R13" i="4" s="1"/>
  <c r="P14" i="4"/>
  <c r="R14" i="4" s="1"/>
  <c r="P15" i="4"/>
  <c r="R15" i="4" s="1"/>
  <c r="P16" i="4"/>
  <c r="R16" i="4" s="1"/>
  <c r="P17" i="4"/>
  <c r="R17" i="4" s="1"/>
  <c r="P18" i="4"/>
  <c r="R18" i="4" s="1"/>
  <c r="P19" i="4"/>
  <c r="R19" i="4" s="1"/>
  <c r="P20" i="4"/>
  <c r="R20" i="4" s="1"/>
  <c r="P21" i="4"/>
  <c r="R21" i="4" s="1"/>
  <c r="P22" i="4"/>
  <c r="R22" i="4" s="1"/>
  <c r="P23" i="4"/>
  <c r="R23" i="4" s="1"/>
  <c r="P24" i="4"/>
  <c r="R24" i="4" s="1"/>
  <c r="P25" i="4"/>
  <c r="R25" i="4" s="1"/>
  <c r="P26" i="4"/>
  <c r="R26" i="4" s="1"/>
  <c r="P27" i="4"/>
  <c r="R27" i="4" s="1"/>
  <c r="P28" i="4"/>
  <c r="R28" i="4" s="1"/>
  <c r="P29" i="4"/>
  <c r="R29" i="4" s="1"/>
  <c r="P30" i="4"/>
  <c r="R30" i="4" s="1"/>
  <c r="P31" i="4"/>
  <c r="R31" i="4" s="1"/>
  <c r="P32" i="4"/>
  <c r="R32" i="4" s="1"/>
  <c r="P33" i="4"/>
  <c r="R33" i="4" s="1"/>
  <c r="P34" i="4"/>
  <c r="R34" i="4" s="1"/>
  <c r="P35" i="4"/>
  <c r="R35" i="4" s="1"/>
  <c r="P36" i="4"/>
  <c r="R36" i="4" s="1"/>
  <c r="P37" i="4"/>
  <c r="R37" i="4" s="1"/>
  <c r="P38" i="4"/>
  <c r="R38" i="4" s="1"/>
  <c r="P39" i="4"/>
  <c r="R39" i="4" s="1"/>
  <c r="P40" i="4"/>
  <c r="R40" i="4" s="1"/>
  <c r="P41" i="4"/>
  <c r="AA41" i="4" s="1"/>
  <c r="P42" i="4"/>
  <c r="AA42" i="4" s="1"/>
  <c r="P43" i="4"/>
  <c r="R43" i="4" s="1"/>
  <c r="P44" i="4"/>
  <c r="R44" i="4" s="1"/>
  <c r="P45" i="4"/>
  <c r="R45" i="4" s="1"/>
  <c r="P46" i="4"/>
  <c r="R46" i="4" s="1"/>
  <c r="P47" i="4"/>
  <c r="R47" i="4" s="1"/>
  <c r="P48" i="4"/>
  <c r="R48" i="4" s="1"/>
  <c r="P49" i="4"/>
  <c r="R49" i="4" s="1"/>
  <c r="P50" i="4"/>
  <c r="R50" i="4" s="1"/>
  <c r="P51" i="4"/>
  <c r="R51" i="4" s="1"/>
  <c r="P52" i="4"/>
  <c r="R52" i="4" s="1"/>
  <c r="P53" i="4"/>
  <c r="R53" i="4" s="1"/>
  <c r="P54" i="4"/>
  <c r="R54" i="4" s="1"/>
  <c r="P55" i="4"/>
  <c r="R55" i="4" s="1"/>
  <c r="P56" i="4"/>
  <c r="R56" i="4" s="1"/>
  <c r="P57" i="4"/>
  <c r="R57" i="4" s="1"/>
  <c r="P58" i="4"/>
  <c r="R58" i="4" s="1"/>
  <c r="P59" i="4"/>
  <c r="R59" i="4" s="1"/>
  <c r="P60" i="4"/>
  <c r="R60" i="4" s="1"/>
  <c r="P61" i="4"/>
  <c r="R61" i="4" s="1"/>
  <c r="P62" i="4"/>
  <c r="R62" i="4" s="1"/>
  <c r="P63" i="4"/>
  <c r="R63" i="4" s="1"/>
  <c r="P64" i="4"/>
  <c r="R64" i="4" s="1"/>
  <c r="R41" i="4" l="1"/>
  <c r="R12" i="4"/>
  <c r="AA63" i="4"/>
  <c r="R42" i="4"/>
  <c r="D65" i="5" l="1"/>
  <c r="L65" i="5" s="1"/>
  <c r="D9" i="4"/>
  <c r="D10" i="4"/>
  <c r="D11" i="4"/>
  <c r="D12" i="4"/>
  <c r="T65" i="4"/>
  <c r="T15" i="4"/>
  <c r="V15" i="4" s="1"/>
  <c r="I15" i="6" s="1"/>
  <c r="AC67" i="2"/>
  <c r="AC68" i="2" s="1"/>
  <c r="T67" i="4" l="1"/>
  <c r="V67" i="4" s="1"/>
  <c r="I67" i="6" s="1"/>
  <c r="H67" i="6" s="1"/>
  <c r="AC69" i="2"/>
  <c r="T68" i="4" s="1"/>
  <c r="V68" i="4" s="1"/>
  <c r="I68" i="6" s="1"/>
  <c r="T66" i="4"/>
  <c r="V66" i="4" s="1"/>
  <c r="I66" i="6" s="1"/>
  <c r="L67" i="6" s="1"/>
  <c r="V65" i="4"/>
  <c r="I65" i="6" s="1"/>
  <c r="J15" i="6"/>
  <c r="AQ17" i="2"/>
  <c r="AQ18" i="2"/>
  <c r="AQ19" i="2"/>
  <c r="AQ20" i="2"/>
  <c r="AQ21" i="2"/>
  <c r="AQ22" i="2"/>
  <c r="AQ23" i="2"/>
  <c r="AQ24" i="2"/>
  <c r="AQ25" i="2"/>
  <c r="AQ26" i="2"/>
  <c r="AQ27" i="2"/>
  <c r="AQ28" i="2"/>
  <c r="AQ29" i="2"/>
  <c r="AQ30" i="2"/>
  <c r="AQ31" i="2"/>
  <c r="AQ32" i="2"/>
  <c r="AQ33" i="2"/>
  <c r="AQ34" i="2"/>
  <c r="AQ35" i="2"/>
  <c r="AQ36" i="2"/>
  <c r="AQ37" i="2"/>
  <c r="AQ38" i="2"/>
  <c r="AQ39" i="2"/>
  <c r="AQ40" i="2"/>
  <c r="AQ41" i="2"/>
  <c r="AQ42" i="2"/>
  <c r="AQ43" i="2"/>
  <c r="AQ44" i="2"/>
  <c r="AQ45" i="2"/>
  <c r="AQ46" i="2"/>
  <c r="AQ47" i="2"/>
  <c r="AQ48" i="2"/>
  <c r="AQ49" i="2"/>
  <c r="AQ50" i="2"/>
  <c r="AQ51" i="2"/>
  <c r="AQ52" i="2"/>
  <c r="AQ53" i="2"/>
  <c r="AQ54" i="2"/>
  <c r="AQ55" i="2"/>
  <c r="AQ56" i="2"/>
  <c r="AQ57" i="2"/>
  <c r="AQ58" i="2"/>
  <c r="AQ59" i="2"/>
  <c r="AQ60" i="2"/>
  <c r="AQ61" i="2"/>
  <c r="AQ62" i="2"/>
  <c r="AQ63" i="2"/>
  <c r="AQ64" i="2"/>
  <c r="AQ65" i="2"/>
  <c r="I64" i="4"/>
  <c r="C13" i="17" s="1"/>
  <c r="O66" i="2"/>
  <c r="I65" i="4" s="1"/>
  <c r="I16" i="4"/>
  <c r="I17" i="4"/>
  <c r="I18" i="4"/>
  <c r="I19" i="4"/>
  <c r="I20" i="4"/>
  <c r="I21" i="4"/>
  <c r="I22" i="4"/>
  <c r="I23" i="4"/>
  <c r="I24" i="4"/>
  <c r="I25" i="4"/>
  <c r="I26" i="4"/>
  <c r="I27" i="4"/>
  <c r="I28" i="4"/>
  <c r="I29" i="4"/>
  <c r="I30" i="4"/>
  <c r="I31" i="4"/>
  <c r="I32" i="4"/>
  <c r="I33" i="4"/>
  <c r="I34" i="4"/>
  <c r="I35" i="4"/>
  <c r="I36" i="4"/>
  <c r="I37" i="4"/>
  <c r="I38" i="4"/>
  <c r="I39" i="4"/>
  <c r="I40" i="4"/>
  <c r="I41" i="4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C5" i="17" s="1"/>
  <c r="D5" i="17" s="1"/>
  <c r="I57" i="4"/>
  <c r="C6" i="17" s="1"/>
  <c r="D6" i="17" s="1"/>
  <c r="I58" i="4"/>
  <c r="C7" i="17" s="1"/>
  <c r="D7" i="17" s="1"/>
  <c r="I59" i="4"/>
  <c r="C8" i="17" s="1"/>
  <c r="D8" i="17" s="1"/>
  <c r="I60" i="4"/>
  <c r="C9" i="17" s="1"/>
  <c r="D9" i="17" s="1"/>
  <c r="I61" i="4"/>
  <c r="C10" i="17" s="1"/>
  <c r="D10" i="17" s="1"/>
  <c r="I62" i="4"/>
  <c r="C11" i="17" s="1"/>
  <c r="D11" i="17" s="1"/>
  <c r="I63" i="4"/>
  <c r="C12" i="17" s="1"/>
  <c r="D12" i="17" s="1"/>
  <c r="I15" i="4"/>
  <c r="AQ16" i="2"/>
  <c r="H68" i="6" l="1"/>
  <c r="L68" i="6"/>
  <c r="J67" i="6"/>
  <c r="K67" i="6"/>
  <c r="AQ66" i="2"/>
  <c r="O67" i="2"/>
  <c r="K65" i="4"/>
  <c r="C14" i="17"/>
  <c r="AE65" i="4"/>
  <c r="J66" i="6"/>
  <c r="L66" i="6"/>
  <c r="J65" i="6"/>
  <c r="M18" i="12" s="1"/>
  <c r="K63" i="4"/>
  <c r="C63" i="6" s="1"/>
  <c r="K57" i="4"/>
  <c r="C57" i="6" s="1"/>
  <c r="AE15" i="4"/>
  <c r="K15" i="4"/>
  <c r="C15" i="6" s="1"/>
  <c r="AI13" i="2"/>
  <c r="AJ13" i="2"/>
  <c r="AK13" i="2"/>
  <c r="AL13" i="2"/>
  <c r="AM13" i="2"/>
  <c r="AN13" i="2"/>
  <c r="AO13" i="2"/>
  <c r="AP13" i="2"/>
  <c r="AI14" i="2"/>
  <c r="AJ14" i="2"/>
  <c r="AK14" i="2"/>
  <c r="AL14" i="2"/>
  <c r="AM14" i="2"/>
  <c r="AN14" i="2"/>
  <c r="AO14" i="2"/>
  <c r="AP14" i="2"/>
  <c r="AI15" i="2"/>
  <c r="AJ15" i="2"/>
  <c r="AK15" i="2"/>
  <c r="AL15" i="2"/>
  <c r="AM15" i="2"/>
  <c r="AN15" i="2"/>
  <c r="AO15" i="2"/>
  <c r="AP15" i="2"/>
  <c r="AI16" i="2"/>
  <c r="AJ16" i="2"/>
  <c r="AK16" i="2"/>
  <c r="AL16" i="2"/>
  <c r="AM16" i="2"/>
  <c r="AN16" i="2"/>
  <c r="AO16" i="2"/>
  <c r="AP16" i="2"/>
  <c r="AI17" i="2"/>
  <c r="AJ17" i="2"/>
  <c r="AK17" i="2"/>
  <c r="AL17" i="2"/>
  <c r="AM17" i="2"/>
  <c r="AN17" i="2"/>
  <c r="AO17" i="2"/>
  <c r="AP17" i="2"/>
  <c r="AI18" i="2"/>
  <c r="AJ18" i="2"/>
  <c r="AK18" i="2"/>
  <c r="AL18" i="2"/>
  <c r="AM18" i="2"/>
  <c r="AN18" i="2"/>
  <c r="AO18" i="2"/>
  <c r="AP18" i="2"/>
  <c r="AI19" i="2"/>
  <c r="AJ19" i="2"/>
  <c r="AK19" i="2"/>
  <c r="AL19" i="2"/>
  <c r="AM19" i="2"/>
  <c r="AN19" i="2"/>
  <c r="AO19" i="2"/>
  <c r="AP19" i="2"/>
  <c r="AI20" i="2"/>
  <c r="AJ20" i="2"/>
  <c r="AK20" i="2"/>
  <c r="AL20" i="2"/>
  <c r="AM20" i="2"/>
  <c r="AN20" i="2"/>
  <c r="AO20" i="2"/>
  <c r="AP20" i="2"/>
  <c r="AI21" i="2"/>
  <c r="AJ21" i="2"/>
  <c r="AK21" i="2"/>
  <c r="AL21" i="2"/>
  <c r="AM21" i="2"/>
  <c r="AN21" i="2"/>
  <c r="AO21" i="2"/>
  <c r="AP21" i="2"/>
  <c r="AI22" i="2"/>
  <c r="AJ22" i="2"/>
  <c r="AK22" i="2"/>
  <c r="AL22" i="2"/>
  <c r="AM22" i="2"/>
  <c r="AN22" i="2"/>
  <c r="AO22" i="2"/>
  <c r="AP22" i="2"/>
  <c r="AI23" i="2"/>
  <c r="AJ23" i="2"/>
  <c r="AK23" i="2"/>
  <c r="AL23" i="2"/>
  <c r="AM23" i="2"/>
  <c r="AN23" i="2"/>
  <c r="AO23" i="2"/>
  <c r="AP23" i="2"/>
  <c r="AI24" i="2"/>
  <c r="AJ24" i="2"/>
  <c r="AK24" i="2"/>
  <c r="AL24" i="2"/>
  <c r="AM24" i="2"/>
  <c r="AN24" i="2"/>
  <c r="AO24" i="2"/>
  <c r="AP24" i="2"/>
  <c r="AI25" i="2"/>
  <c r="AJ25" i="2"/>
  <c r="AK25" i="2"/>
  <c r="AL25" i="2"/>
  <c r="AM25" i="2"/>
  <c r="AN25" i="2"/>
  <c r="AO25" i="2"/>
  <c r="AP25" i="2"/>
  <c r="AI26" i="2"/>
  <c r="AJ26" i="2"/>
  <c r="AK26" i="2"/>
  <c r="AL26" i="2"/>
  <c r="AM26" i="2"/>
  <c r="AN26" i="2"/>
  <c r="AO26" i="2"/>
  <c r="AP26" i="2"/>
  <c r="AI27" i="2"/>
  <c r="AJ27" i="2"/>
  <c r="AK27" i="2"/>
  <c r="AL27" i="2"/>
  <c r="AM27" i="2"/>
  <c r="AN27" i="2"/>
  <c r="AO27" i="2"/>
  <c r="AP27" i="2"/>
  <c r="AI28" i="2"/>
  <c r="AJ28" i="2"/>
  <c r="AK28" i="2"/>
  <c r="AL28" i="2"/>
  <c r="AM28" i="2"/>
  <c r="AN28" i="2"/>
  <c r="AO28" i="2"/>
  <c r="AP28" i="2"/>
  <c r="AI29" i="2"/>
  <c r="AJ29" i="2"/>
  <c r="AK29" i="2"/>
  <c r="AL29" i="2"/>
  <c r="AM29" i="2"/>
  <c r="AN29" i="2"/>
  <c r="AO29" i="2"/>
  <c r="AP29" i="2"/>
  <c r="AI30" i="2"/>
  <c r="AJ30" i="2"/>
  <c r="AK30" i="2"/>
  <c r="AL30" i="2"/>
  <c r="AM30" i="2"/>
  <c r="AN30" i="2"/>
  <c r="AO30" i="2"/>
  <c r="AP30" i="2"/>
  <c r="AI31" i="2"/>
  <c r="AJ31" i="2"/>
  <c r="AK31" i="2"/>
  <c r="AL31" i="2"/>
  <c r="AM31" i="2"/>
  <c r="AN31" i="2"/>
  <c r="AO31" i="2"/>
  <c r="AP31" i="2"/>
  <c r="AI32" i="2"/>
  <c r="AJ32" i="2"/>
  <c r="AK32" i="2"/>
  <c r="AL32" i="2"/>
  <c r="AM32" i="2"/>
  <c r="AN32" i="2"/>
  <c r="AO32" i="2"/>
  <c r="AP32" i="2"/>
  <c r="AI33" i="2"/>
  <c r="AJ33" i="2"/>
  <c r="AK33" i="2"/>
  <c r="AL33" i="2"/>
  <c r="AM33" i="2"/>
  <c r="AN33" i="2"/>
  <c r="AO33" i="2"/>
  <c r="AP33" i="2"/>
  <c r="AI34" i="2"/>
  <c r="AJ34" i="2"/>
  <c r="AK34" i="2"/>
  <c r="AL34" i="2"/>
  <c r="AM34" i="2"/>
  <c r="AN34" i="2"/>
  <c r="AO34" i="2"/>
  <c r="AP34" i="2"/>
  <c r="AI35" i="2"/>
  <c r="AJ35" i="2"/>
  <c r="AK35" i="2"/>
  <c r="AL35" i="2"/>
  <c r="AM35" i="2"/>
  <c r="AN35" i="2"/>
  <c r="AO35" i="2"/>
  <c r="AP35" i="2"/>
  <c r="AI36" i="2"/>
  <c r="AJ36" i="2"/>
  <c r="AK36" i="2"/>
  <c r="AL36" i="2"/>
  <c r="AM36" i="2"/>
  <c r="AN36" i="2"/>
  <c r="AO36" i="2"/>
  <c r="AP36" i="2"/>
  <c r="AI37" i="2"/>
  <c r="AJ37" i="2"/>
  <c r="AK37" i="2"/>
  <c r="AL37" i="2"/>
  <c r="AM37" i="2"/>
  <c r="AN37" i="2"/>
  <c r="AO37" i="2"/>
  <c r="AP37" i="2"/>
  <c r="AI38" i="2"/>
  <c r="AJ38" i="2"/>
  <c r="AK38" i="2"/>
  <c r="AL38" i="2"/>
  <c r="AM38" i="2"/>
  <c r="AN38" i="2"/>
  <c r="AO38" i="2"/>
  <c r="AP38" i="2"/>
  <c r="AI39" i="2"/>
  <c r="AJ39" i="2"/>
  <c r="AK39" i="2"/>
  <c r="AL39" i="2"/>
  <c r="AM39" i="2"/>
  <c r="AN39" i="2"/>
  <c r="AO39" i="2"/>
  <c r="AP39" i="2"/>
  <c r="AI40" i="2"/>
  <c r="AJ40" i="2"/>
  <c r="AK40" i="2"/>
  <c r="AL40" i="2"/>
  <c r="AM40" i="2"/>
  <c r="AN40" i="2"/>
  <c r="AO40" i="2"/>
  <c r="AP40" i="2"/>
  <c r="AI41" i="2"/>
  <c r="AJ41" i="2"/>
  <c r="AK41" i="2"/>
  <c r="AL41" i="2"/>
  <c r="AM41" i="2"/>
  <c r="AN41" i="2"/>
  <c r="AO41" i="2"/>
  <c r="AP41" i="2"/>
  <c r="AI42" i="2"/>
  <c r="AJ42" i="2"/>
  <c r="AK42" i="2"/>
  <c r="AL42" i="2"/>
  <c r="AM42" i="2"/>
  <c r="AN42" i="2"/>
  <c r="AO42" i="2"/>
  <c r="AP42" i="2"/>
  <c r="AI43" i="2"/>
  <c r="AJ43" i="2"/>
  <c r="AK43" i="2"/>
  <c r="AL43" i="2"/>
  <c r="AM43" i="2"/>
  <c r="AN43" i="2"/>
  <c r="AO43" i="2"/>
  <c r="AP43" i="2"/>
  <c r="AI44" i="2"/>
  <c r="AJ44" i="2"/>
  <c r="AK44" i="2"/>
  <c r="AL44" i="2"/>
  <c r="AM44" i="2"/>
  <c r="AN44" i="2"/>
  <c r="AO44" i="2"/>
  <c r="AP44" i="2"/>
  <c r="AI45" i="2"/>
  <c r="AJ45" i="2"/>
  <c r="AK45" i="2"/>
  <c r="AL45" i="2"/>
  <c r="AM45" i="2"/>
  <c r="AN45" i="2"/>
  <c r="AO45" i="2"/>
  <c r="AP45" i="2"/>
  <c r="AI46" i="2"/>
  <c r="AJ46" i="2"/>
  <c r="AK46" i="2"/>
  <c r="AL46" i="2"/>
  <c r="AM46" i="2"/>
  <c r="AN46" i="2"/>
  <c r="AO46" i="2"/>
  <c r="AP46" i="2"/>
  <c r="AI47" i="2"/>
  <c r="AJ47" i="2"/>
  <c r="AK47" i="2"/>
  <c r="AL47" i="2"/>
  <c r="AM47" i="2"/>
  <c r="AN47" i="2"/>
  <c r="AO47" i="2"/>
  <c r="AP47" i="2"/>
  <c r="AI48" i="2"/>
  <c r="AJ48" i="2"/>
  <c r="AK48" i="2"/>
  <c r="AL48" i="2"/>
  <c r="AM48" i="2"/>
  <c r="AN48" i="2"/>
  <c r="AO48" i="2"/>
  <c r="AP48" i="2"/>
  <c r="AI49" i="2"/>
  <c r="AJ49" i="2"/>
  <c r="AK49" i="2"/>
  <c r="AL49" i="2"/>
  <c r="AM49" i="2"/>
  <c r="AN49" i="2"/>
  <c r="AO49" i="2"/>
  <c r="AP49" i="2"/>
  <c r="AI50" i="2"/>
  <c r="AJ50" i="2"/>
  <c r="AK50" i="2"/>
  <c r="AL50" i="2"/>
  <c r="AM50" i="2"/>
  <c r="AN50" i="2"/>
  <c r="AO50" i="2"/>
  <c r="AP50" i="2"/>
  <c r="AI51" i="2"/>
  <c r="AJ51" i="2"/>
  <c r="AK51" i="2"/>
  <c r="AL51" i="2"/>
  <c r="AM51" i="2"/>
  <c r="AN51" i="2"/>
  <c r="AO51" i="2"/>
  <c r="AP51" i="2"/>
  <c r="AI52" i="2"/>
  <c r="AJ52" i="2"/>
  <c r="AK52" i="2"/>
  <c r="AL52" i="2"/>
  <c r="AM52" i="2"/>
  <c r="AN52" i="2"/>
  <c r="AO52" i="2"/>
  <c r="AP52" i="2"/>
  <c r="AI53" i="2"/>
  <c r="AJ53" i="2"/>
  <c r="AK53" i="2"/>
  <c r="AL53" i="2"/>
  <c r="AM53" i="2"/>
  <c r="AN53" i="2"/>
  <c r="AO53" i="2"/>
  <c r="AP53" i="2"/>
  <c r="AI54" i="2"/>
  <c r="AJ54" i="2"/>
  <c r="AK54" i="2"/>
  <c r="AL54" i="2"/>
  <c r="AM54" i="2"/>
  <c r="AN54" i="2"/>
  <c r="AO54" i="2"/>
  <c r="AP54" i="2"/>
  <c r="AI55" i="2"/>
  <c r="AJ55" i="2"/>
  <c r="AK55" i="2"/>
  <c r="AL55" i="2"/>
  <c r="AM55" i="2"/>
  <c r="AN55" i="2"/>
  <c r="AO55" i="2"/>
  <c r="AP55" i="2"/>
  <c r="AI56" i="2"/>
  <c r="AJ56" i="2"/>
  <c r="AK56" i="2"/>
  <c r="AL56" i="2"/>
  <c r="AM56" i="2"/>
  <c r="AN56" i="2"/>
  <c r="AO56" i="2"/>
  <c r="AP56" i="2"/>
  <c r="AI57" i="2"/>
  <c r="AJ57" i="2"/>
  <c r="AK57" i="2"/>
  <c r="AL57" i="2"/>
  <c r="AM57" i="2"/>
  <c r="AN57" i="2"/>
  <c r="AO57" i="2"/>
  <c r="AP57" i="2"/>
  <c r="AI58" i="2"/>
  <c r="AJ58" i="2"/>
  <c r="AK58" i="2"/>
  <c r="AL58" i="2"/>
  <c r="AM58" i="2"/>
  <c r="AN58" i="2"/>
  <c r="AO58" i="2"/>
  <c r="AP58" i="2"/>
  <c r="AI59" i="2"/>
  <c r="AJ59" i="2"/>
  <c r="AK59" i="2"/>
  <c r="AL59" i="2"/>
  <c r="AM59" i="2"/>
  <c r="AN59" i="2"/>
  <c r="AO59" i="2"/>
  <c r="AP59" i="2"/>
  <c r="AI60" i="2"/>
  <c r="AJ60" i="2"/>
  <c r="AK60" i="2"/>
  <c r="AL60" i="2"/>
  <c r="AM60" i="2"/>
  <c r="AN60" i="2"/>
  <c r="AO60" i="2"/>
  <c r="AP60" i="2"/>
  <c r="AI61" i="2"/>
  <c r="AJ61" i="2"/>
  <c r="AK61" i="2"/>
  <c r="AL61" i="2"/>
  <c r="AM61" i="2"/>
  <c r="AN61" i="2"/>
  <c r="AO61" i="2"/>
  <c r="AP61" i="2"/>
  <c r="AI62" i="2"/>
  <c r="AJ62" i="2"/>
  <c r="AK62" i="2"/>
  <c r="AL62" i="2"/>
  <c r="AM62" i="2"/>
  <c r="AN62" i="2"/>
  <c r="AO62" i="2"/>
  <c r="AP62" i="2"/>
  <c r="AI63" i="2"/>
  <c r="AJ63" i="2"/>
  <c r="AK63" i="2"/>
  <c r="AL63" i="2"/>
  <c r="AM63" i="2"/>
  <c r="AN63" i="2"/>
  <c r="AO63" i="2"/>
  <c r="AP63" i="2"/>
  <c r="AI64" i="2"/>
  <c r="AJ64" i="2"/>
  <c r="AK64" i="2"/>
  <c r="AL64" i="2"/>
  <c r="AM64" i="2"/>
  <c r="AN64" i="2"/>
  <c r="AO64" i="2"/>
  <c r="AP64" i="2"/>
  <c r="AJ12" i="2"/>
  <c r="AK12" i="2"/>
  <c r="AL12" i="2"/>
  <c r="AM12" i="2"/>
  <c r="AN12" i="2"/>
  <c r="AO12" i="2"/>
  <c r="AP12" i="2"/>
  <c r="AI12" i="2"/>
  <c r="AE13" i="2"/>
  <c r="AF13" i="2"/>
  <c r="AG13" i="2"/>
  <c r="AH13" i="2"/>
  <c r="AE14" i="2"/>
  <c r="AF14" i="2"/>
  <c r="AG14" i="2"/>
  <c r="AH14" i="2"/>
  <c r="AE15" i="2"/>
  <c r="AF15" i="2"/>
  <c r="AG15" i="2"/>
  <c r="AH15" i="2"/>
  <c r="AE16" i="2"/>
  <c r="AF16" i="2"/>
  <c r="AG16" i="2"/>
  <c r="AH16" i="2"/>
  <c r="AE17" i="2"/>
  <c r="AF17" i="2"/>
  <c r="AG17" i="2"/>
  <c r="AH17" i="2"/>
  <c r="AE18" i="2"/>
  <c r="AF18" i="2"/>
  <c r="AG18" i="2"/>
  <c r="AH18" i="2"/>
  <c r="AE19" i="2"/>
  <c r="AF19" i="2"/>
  <c r="AG19" i="2"/>
  <c r="AH19" i="2"/>
  <c r="AE20" i="2"/>
  <c r="AF20" i="2"/>
  <c r="AG20" i="2"/>
  <c r="AH20" i="2"/>
  <c r="AE21" i="2"/>
  <c r="AF21" i="2"/>
  <c r="AG21" i="2"/>
  <c r="AH21" i="2"/>
  <c r="AE22" i="2"/>
  <c r="AF22" i="2"/>
  <c r="AG22" i="2"/>
  <c r="AH22" i="2"/>
  <c r="AE23" i="2"/>
  <c r="AF23" i="2"/>
  <c r="AG23" i="2"/>
  <c r="AH23" i="2"/>
  <c r="AE24" i="2"/>
  <c r="AF24" i="2"/>
  <c r="AG24" i="2"/>
  <c r="AH24" i="2"/>
  <c r="AE25" i="2"/>
  <c r="AF25" i="2"/>
  <c r="AG25" i="2"/>
  <c r="AH25" i="2"/>
  <c r="AE26" i="2"/>
  <c r="AF26" i="2"/>
  <c r="AG26" i="2"/>
  <c r="AH26" i="2"/>
  <c r="AE27" i="2"/>
  <c r="AF27" i="2"/>
  <c r="AG27" i="2"/>
  <c r="AH27" i="2"/>
  <c r="AE28" i="2"/>
  <c r="AF28" i="2"/>
  <c r="AG28" i="2"/>
  <c r="AH28" i="2"/>
  <c r="AE29" i="2"/>
  <c r="AF29" i="2"/>
  <c r="AG29" i="2"/>
  <c r="AH29" i="2"/>
  <c r="AE30" i="2"/>
  <c r="AF30" i="2"/>
  <c r="AG30" i="2"/>
  <c r="AH30" i="2"/>
  <c r="AE31" i="2"/>
  <c r="AF31" i="2"/>
  <c r="AG31" i="2"/>
  <c r="AH31" i="2"/>
  <c r="AE32" i="2"/>
  <c r="AF32" i="2"/>
  <c r="AG32" i="2"/>
  <c r="AH32" i="2"/>
  <c r="AE33" i="2"/>
  <c r="AF33" i="2"/>
  <c r="AG33" i="2"/>
  <c r="AH33" i="2"/>
  <c r="AE34" i="2"/>
  <c r="AF34" i="2"/>
  <c r="AG34" i="2"/>
  <c r="AH34" i="2"/>
  <c r="AE35" i="2"/>
  <c r="AF35" i="2"/>
  <c r="AG35" i="2"/>
  <c r="AH35" i="2"/>
  <c r="AE36" i="2"/>
  <c r="AF36" i="2"/>
  <c r="AG36" i="2"/>
  <c r="AH36" i="2"/>
  <c r="AE37" i="2"/>
  <c r="AF37" i="2"/>
  <c r="AG37" i="2"/>
  <c r="AH37" i="2"/>
  <c r="AE38" i="2"/>
  <c r="AF38" i="2"/>
  <c r="AG38" i="2"/>
  <c r="AH38" i="2"/>
  <c r="AE39" i="2"/>
  <c r="AF39" i="2"/>
  <c r="AG39" i="2"/>
  <c r="AH39" i="2"/>
  <c r="AE40" i="2"/>
  <c r="AF40" i="2"/>
  <c r="AG40" i="2"/>
  <c r="AH40" i="2"/>
  <c r="AE41" i="2"/>
  <c r="AF41" i="2"/>
  <c r="AG41" i="2"/>
  <c r="AH41" i="2"/>
  <c r="AE42" i="2"/>
  <c r="AF42" i="2"/>
  <c r="AG42" i="2"/>
  <c r="AH42" i="2"/>
  <c r="AE43" i="2"/>
  <c r="AF43" i="2"/>
  <c r="AG43" i="2"/>
  <c r="AH43" i="2"/>
  <c r="AE44" i="2"/>
  <c r="AF44" i="2"/>
  <c r="AG44" i="2"/>
  <c r="AH44" i="2"/>
  <c r="AE45" i="2"/>
  <c r="AF45" i="2"/>
  <c r="AG45" i="2"/>
  <c r="AH45" i="2"/>
  <c r="AE46" i="2"/>
  <c r="AF46" i="2"/>
  <c r="AG46" i="2"/>
  <c r="AH46" i="2"/>
  <c r="AE47" i="2"/>
  <c r="AF47" i="2"/>
  <c r="AG47" i="2"/>
  <c r="AH47" i="2"/>
  <c r="AE48" i="2"/>
  <c r="AF48" i="2"/>
  <c r="AG48" i="2"/>
  <c r="AH48" i="2"/>
  <c r="AE49" i="2"/>
  <c r="AF49" i="2"/>
  <c r="AG49" i="2"/>
  <c r="AH49" i="2"/>
  <c r="AE50" i="2"/>
  <c r="AF50" i="2"/>
  <c r="AG50" i="2"/>
  <c r="AH50" i="2"/>
  <c r="AE51" i="2"/>
  <c r="AF51" i="2"/>
  <c r="AG51" i="2"/>
  <c r="AH51" i="2"/>
  <c r="AE52" i="2"/>
  <c r="AF52" i="2"/>
  <c r="AG52" i="2"/>
  <c r="AH52" i="2"/>
  <c r="AE53" i="2"/>
  <c r="AF53" i="2"/>
  <c r="AG53" i="2"/>
  <c r="AH53" i="2"/>
  <c r="AE54" i="2"/>
  <c r="AF54" i="2"/>
  <c r="AG54" i="2"/>
  <c r="AH54" i="2"/>
  <c r="AE55" i="2"/>
  <c r="AF55" i="2"/>
  <c r="AG55" i="2"/>
  <c r="AH55" i="2"/>
  <c r="AE56" i="2"/>
  <c r="AF56" i="2"/>
  <c r="AG56" i="2"/>
  <c r="AH56" i="2"/>
  <c r="AE57" i="2"/>
  <c r="AF57" i="2"/>
  <c r="AG57" i="2"/>
  <c r="AH57" i="2"/>
  <c r="AE58" i="2"/>
  <c r="AF58" i="2"/>
  <c r="AG58" i="2"/>
  <c r="AH58" i="2"/>
  <c r="AE59" i="2"/>
  <c r="AF59" i="2"/>
  <c r="AG59" i="2"/>
  <c r="AH59" i="2"/>
  <c r="AE60" i="2"/>
  <c r="AF60" i="2"/>
  <c r="AG60" i="2"/>
  <c r="AH60" i="2"/>
  <c r="AE61" i="2"/>
  <c r="AF61" i="2"/>
  <c r="AG61" i="2"/>
  <c r="AH61" i="2"/>
  <c r="AE62" i="2"/>
  <c r="AF62" i="2"/>
  <c r="AG62" i="2"/>
  <c r="AH62" i="2"/>
  <c r="AE63" i="2"/>
  <c r="AF63" i="2"/>
  <c r="AG63" i="2"/>
  <c r="AH63" i="2"/>
  <c r="AE64" i="2"/>
  <c r="AF64" i="2"/>
  <c r="AG64" i="2"/>
  <c r="AH64" i="2"/>
  <c r="AF12" i="2"/>
  <c r="AG12" i="2"/>
  <c r="AH12" i="2"/>
  <c r="AE12" i="2"/>
  <c r="I66" i="4" l="1"/>
  <c r="O68" i="2"/>
  <c r="J68" i="6"/>
  <c r="K68" i="6"/>
  <c r="N18" i="12"/>
  <c r="K12" i="21"/>
  <c r="AE66" i="4"/>
  <c r="K66" i="4"/>
  <c r="AG66" i="4" s="1"/>
  <c r="C15" i="17"/>
  <c r="AQ67" i="2"/>
  <c r="AG65" i="4"/>
  <c r="C65" i="6"/>
  <c r="M19" i="12"/>
  <c r="N19" i="12" s="1"/>
  <c r="M64" i="8"/>
  <c r="N64" i="8" s="1"/>
  <c r="P64" i="8" s="1"/>
  <c r="O17" i="9" s="1"/>
  <c r="U22" i="8"/>
  <c r="U23" i="8"/>
  <c r="U24" i="8"/>
  <c r="U25" i="8"/>
  <c r="U26" i="8"/>
  <c r="U27" i="8"/>
  <c r="U28" i="8"/>
  <c r="U29" i="8"/>
  <c r="U30" i="8"/>
  <c r="U31" i="8"/>
  <c r="U32" i="8"/>
  <c r="U33" i="8"/>
  <c r="U34" i="8"/>
  <c r="U35" i="8"/>
  <c r="U36" i="8"/>
  <c r="U37" i="8"/>
  <c r="U38" i="8"/>
  <c r="U39" i="8"/>
  <c r="U40" i="8"/>
  <c r="U41" i="8"/>
  <c r="U42" i="8"/>
  <c r="U43" i="8"/>
  <c r="U44" i="8"/>
  <c r="U45" i="8"/>
  <c r="U46" i="8"/>
  <c r="U47" i="8"/>
  <c r="U48" i="8"/>
  <c r="U49" i="8"/>
  <c r="U50" i="8"/>
  <c r="U51" i="8"/>
  <c r="U52" i="8"/>
  <c r="U53" i="8"/>
  <c r="U54" i="8"/>
  <c r="U55" i="8"/>
  <c r="U56" i="8"/>
  <c r="U57" i="8"/>
  <c r="U58" i="8"/>
  <c r="U59" i="8"/>
  <c r="U60" i="8"/>
  <c r="U21" i="8"/>
  <c r="O69" i="2" l="1"/>
  <c r="AQ68" i="2"/>
  <c r="I67" i="4"/>
  <c r="Q17" i="9"/>
  <c r="S17" i="9" s="1"/>
  <c r="C10" i="22" s="1"/>
  <c r="L10" i="22" s="1"/>
  <c r="C37" i="21"/>
  <c r="C66" i="6"/>
  <c r="U65" i="6"/>
  <c r="V65" i="6" s="1"/>
  <c r="D65" i="6"/>
  <c r="O63" i="4"/>
  <c r="J8" i="5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N32" i="6"/>
  <c r="N33" i="6"/>
  <c r="N34" i="6"/>
  <c r="N35" i="6"/>
  <c r="N36" i="6"/>
  <c r="N37" i="6"/>
  <c r="N38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N52" i="6"/>
  <c r="N53" i="6"/>
  <c r="N54" i="6"/>
  <c r="N55" i="6"/>
  <c r="N56" i="6"/>
  <c r="N57" i="6"/>
  <c r="N58" i="6"/>
  <c r="N59" i="6"/>
  <c r="N60" i="6"/>
  <c r="N61" i="6"/>
  <c r="N62" i="6"/>
  <c r="N63" i="6"/>
  <c r="N64" i="6"/>
  <c r="N15" i="6"/>
  <c r="W61" i="1"/>
  <c r="W46" i="1"/>
  <c r="W47" i="1"/>
  <c r="W48" i="1"/>
  <c r="W49" i="1"/>
  <c r="W50" i="1"/>
  <c r="W51" i="1"/>
  <c r="W52" i="1"/>
  <c r="W53" i="1"/>
  <c r="W54" i="1"/>
  <c r="W55" i="1"/>
  <c r="W56" i="1"/>
  <c r="W57" i="1"/>
  <c r="W58" i="1"/>
  <c r="W59" i="1"/>
  <c r="W60" i="1"/>
  <c r="W45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63" i="1"/>
  <c r="R9" i="1"/>
  <c r="J9" i="5"/>
  <c r="J10" i="5"/>
  <c r="J11" i="5"/>
  <c r="J12" i="5"/>
  <c r="J13" i="5"/>
  <c r="K13" i="5"/>
  <c r="J14" i="5"/>
  <c r="K14" i="5"/>
  <c r="J15" i="5"/>
  <c r="K15" i="5"/>
  <c r="J16" i="5"/>
  <c r="K16" i="5"/>
  <c r="J17" i="5"/>
  <c r="K17" i="5"/>
  <c r="J18" i="5"/>
  <c r="K18" i="5"/>
  <c r="J19" i="5"/>
  <c r="K19" i="5"/>
  <c r="J20" i="5"/>
  <c r="K20" i="5"/>
  <c r="J21" i="5"/>
  <c r="K21" i="5"/>
  <c r="J22" i="5"/>
  <c r="K22" i="5"/>
  <c r="J23" i="5"/>
  <c r="K23" i="5"/>
  <c r="J24" i="5"/>
  <c r="K24" i="5"/>
  <c r="J25" i="5"/>
  <c r="K25" i="5"/>
  <c r="J26" i="5"/>
  <c r="K26" i="5"/>
  <c r="J27" i="5"/>
  <c r="K27" i="5"/>
  <c r="J28" i="5"/>
  <c r="K28" i="5"/>
  <c r="J29" i="5"/>
  <c r="K29" i="5"/>
  <c r="J30" i="5"/>
  <c r="K30" i="5"/>
  <c r="J31" i="5"/>
  <c r="K31" i="5"/>
  <c r="J32" i="5"/>
  <c r="K32" i="5"/>
  <c r="J33" i="5"/>
  <c r="K33" i="5"/>
  <c r="J34" i="5"/>
  <c r="K34" i="5"/>
  <c r="J35" i="5"/>
  <c r="K35" i="5"/>
  <c r="J36" i="5"/>
  <c r="K36" i="5"/>
  <c r="J37" i="5"/>
  <c r="K37" i="5"/>
  <c r="J38" i="5"/>
  <c r="K38" i="5"/>
  <c r="J39" i="5"/>
  <c r="K39" i="5"/>
  <c r="J40" i="5"/>
  <c r="K40" i="5"/>
  <c r="J41" i="5"/>
  <c r="K41" i="5"/>
  <c r="J42" i="5"/>
  <c r="K42" i="5"/>
  <c r="J43" i="5"/>
  <c r="K43" i="5"/>
  <c r="J44" i="5"/>
  <c r="K44" i="5"/>
  <c r="J45" i="5"/>
  <c r="K45" i="5"/>
  <c r="J46" i="5"/>
  <c r="K46" i="5"/>
  <c r="J47" i="5"/>
  <c r="K47" i="5"/>
  <c r="J48" i="5"/>
  <c r="K48" i="5"/>
  <c r="J49" i="5"/>
  <c r="K49" i="5"/>
  <c r="J50" i="5"/>
  <c r="K50" i="5"/>
  <c r="J51" i="5"/>
  <c r="K51" i="5"/>
  <c r="J52" i="5"/>
  <c r="K52" i="5"/>
  <c r="J53" i="5"/>
  <c r="K53" i="5"/>
  <c r="J54" i="5"/>
  <c r="K54" i="5"/>
  <c r="J55" i="5"/>
  <c r="K55" i="5"/>
  <c r="J56" i="5"/>
  <c r="K56" i="5"/>
  <c r="J57" i="5"/>
  <c r="K57" i="5"/>
  <c r="J58" i="5"/>
  <c r="K58" i="5"/>
  <c r="J59" i="5"/>
  <c r="K59" i="5"/>
  <c r="J60" i="5"/>
  <c r="K60" i="5"/>
  <c r="J61" i="5"/>
  <c r="K61" i="5"/>
  <c r="J62" i="5"/>
  <c r="J63" i="5"/>
  <c r="K63" i="5"/>
  <c r="X9" i="4"/>
  <c r="Y9" i="4"/>
  <c r="AB9" i="4"/>
  <c r="X10" i="4"/>
  <c r="Y10" i="4"/>
  <c r="AB10" i="4"/>
  <c r="X11" i="4"/>
  <c r="Y11" i="4"/>
  <c r="AB11" i="4"/>
  <c r="X12" i="4"/>
  <c r="Y12" i="4"/>
  <c r="AB12" i="4"/>
  <c r="X13" i="4"/>
  <c r="Y13" i="4"/>
  <c r="AA13" i="4"/>
  <c r="AB13" i="4"/>
  <c r="AD13" i="4"/>
  <c r="AF13" i="4"/>
  <c r="X14" i="4"/>
  <c r="Y14" i="4"/>
  <c r="AA14" i="4"/>
  <c r="AB14" i="4"/>
  <c r="AD14" i="4"/>
  <c r="AF14" i="4"/>
  <c r="X15" i="4"/>
  <c r="Y15" i="4"/>
  <c r="AA15" i="4"/>
  <c r="AB15" i="4"/>
  <c r="AD15" i="4"/>
  <c r="AF15" i="4"/>
  <c r="X16" i="4"/>
  <c r="Y16" i="4"/>
  <c r="AA16" i="4"/>
  <c r="AB16" i="4"/>
  <c r="AD16" i="4"/>
  <c r="AF16" i="4"/>
  <c r="X17" i="4"/>
  <c r="Y17" i="4"/>
  <c r="AA17" i="4"/>
  <c r="AB17" i="4"/>
  <c r="AD17" i="4"/>
  <c r="AF17" i="4"/>
  <c r="X18" i="4"/>
  <c r="Y18" i="4"/>
  <c r="AA18" i="4"/>
  <c r="AB18" i="4"/>
  <c r="AD18" i="4"/>
  <c r="AF18" i="4"/>
  <c r="X19" i="4"/>
  <c r="Y19" i="4"/>
  <c r="AA19" i="4"/>
  <c r="AB19" i="4"/>
  <c r="AD19" i="4"/>
  <c r="AF19" i="4"/>
  <c r="X20" i="4"/>
  <c r="Y20" i="4"/>
  <c r="AA20" i="4"/>
  <c r="AB20" i="4"/>
  <c r="AD20" i="4"/>
  <c r="AF20" i="4"/>
  <c r="X21" i="4"/>
  <c r="Y21" i="4"/>
  <c r="AA21" i="4"/>
  <c r="AB21" i="4"/>
  <c r="AD21" i="4"/>
  <c r="AF21" i="4"/>
  <c r="X22" i="4"/>
  <c r="Y22" i="4"/>
  <c r="AA22" i="4"/>
  <c r="AB22" i="4"/>
  <c r="AD22" i="4"/>
  <c r="AF22" i="4"/>
  <c r="X23" i="4"/>
  <c r="Y23" i="4"/>
  <c r="AA23" i="4"/>
  <c r="AB23" i="4"/>
  <c r="AD23" i="4"/>
  <c r="AF23" i="4"/>
  <c r="X24" i="4"/>
  <c r="Y24" i="4"/>
  <c r="AA24" i="4"/>
  <c r="AB24" i="4"/>
  <c r="AD24" i="4"/>
  <c r="AF24" i="4"/>
  <c r="X25" i="4"/>
  <c r="Y25" i="4"/>
  <c r="AA25" i="4"/>
  <c r="AB25" i="4"/>
  <c r="AD25" i="4"/>
  <c r="AF25" i="4"/>
  <c r="X26" i="4"/>
  <c r="Y26" i="4"/>
  <c r="AA26" i="4"/>
  <c r="AB26" i="4"/>
  <c r="AD26" i="4"/>
  <c r="AF26" i="4"/>
  <c r="X27" i="4"/>
  <c r="Y27" i="4"/>
  <c r="AA27" i="4"/>
  <c r="AB27" i="4"/>
  <c r="AD27" i="4"/>
  <c r="AF27" i="4"/>
  <c r="X28" i="4"/>
  <c r="Y28" i="4"/>
  <c r="AA28" i="4"/>
  <c r="AB28" i="4"/>
  <c r="AD28" i="4"/>
  <c r="AF28" i="4"/>
  <c r="X29" i="4"/>
  <c r="Y29" i="4"/>
  <c r="AA29" i="4"/>
  <c r="AB29" i="4"/>
  <c r="AD29" i="4"/>
  <c r="AF29" i="4"/>
  <c r="X30" i="4"/>
  <c r="Y30" i="4"/>
  <c r="AA30" i="4"/>
  <c r="AB30" i="4"/>
  <c r="AD30" i="4"/>
  <c r="AF30" i="4"/>
  <c r="X31" i="4"/>
  <c r="Y31" i="4"/>
  <c r="AA31" i="4"/>
  <c r="AB31" i="4"/>
  <c r="AD31" i="4"/>
  <c r="AF31" i="4"/>
  <c r="X32" i="4"/>
  <c r="Y32" i="4"/>
  <c r="AA32" i="4"/>
  <c r="AB32" i="4"/>
  <c r="AD32" i="4"/>
  <c r="AF32" i="4"/>
  <c r="X33" i="4"/>
  <c r="Y33" i="4"/>
  <c r="AA33" i="4"/>
  <c r="AB33" i="4"/>
  <c r="AD33" i="4"/>
  <c r="AF33" i="4"/>
  <c r="X34" i="4"/>
  <c r="Y34" i="4"/>
  <c r="AA34" i="4"/>
  <c r="AB34" i="4"/>
  <c r="AD34" i="4"/>
  <c r="AF34" i="4"/>
  <c r="X35" i="4"/>
  <c r="Y35" i="4"/>
  <c r="AA35" i="4"/>
  <c r="AB35" i="4"/>
  <c r="AD35" i="4"/>
  <c r="AF35" i="4"/>
  <c r="X36" i="4"/>
  <c r="Y36" i="4"/>
  <c r="AA36" i="4"/>
  <c r="AB36" i="4"/>
  <c r="AD36" i="4"/>
  <c r="AF36" i="4"/>
  <c r="X37" i="4"/>
  <c r="Y37" i="4"/>
  <c r="AA37" i="4"/>
  <c r="AB37" i="4"/>
  <c r="AD37" i="4"/>
  <c r="AF37" i="4"/>
  <c r="X38" i="4"/>
  <c r="Y38" i="4"/>
  <c r="AA38" i="4"/>
  <c r="AB38" i="4"/>
  <c r="AD38" i="4"/>
  <c r="AF38" i="4"/>
  <c r="X39" i="4"/>
  <c r="Y39" i="4"/>
  <c r="AA39" i="4"/>
  <c r="AB39" i="4"/>
  <c r="AD39" i="4"/>
  <c r="AF39" i="4"/>
  <c r="X40" i="4"/>
  <c r="Y40" i="4"/>
  <c r="AA40" i="4"/>
  <c r="AB40" i="4"/>
  <c r="AD40" i="4"/>
  <c r="AF40" i="4"/>
  <c r="X41" i="4"/>
  <c r="Y41" i="4"/>
  <c r="AB41" i="4"/>
  <c r="AD41" i="4"/>
  <c r="AF41" i="4"/>
  <c r="X42" i="4"/>
  <c r="Y42" i="4"/>
  <c r="AB42" i="4"/>
  <c r="AD42" i="4"/>
  <c r="AF42" i="4"/>
  <c r="X43" i="4"/>
  <c r="Y43" i="4"/>
  <c r="AA43" i="4"/>
  <c r="AB43" i="4"/>
  <c r="AD43" i="4"/>
  <c r="AF43" i="4"/>
  <c r="X44" i="4"/>
  <c r="Y44" i="4"/>
  <c r="AA44" i="4"/>
  <c r="AB44" i="4"/>
  <c r="AD44" i="4"/>
  <c r="AF44" i="4"/>
  <c r="X45" i="4"/>
  <c r="Y45" i="4"/>
  <c r="AA45" i="4"/>
  <c r="AB45" i="4"/>
  <c r="AD45" i="4"/>
  <c r="AF45" i="4"/>
  <c r="X46" i="4"/>
  <c r="Y46" i="4"/>
  <c r="AA46" i="4"/>
  <c r="AB46" i="4"/>
  <c r="AD46" i="4"/>
  <c r="AF46" i="4"/>
  <c r="X47" i="4"/>
  <c r="Y47" i="4"/>
  <c r="AA47" i="4"/>
  <c r="AB47" i="4"/>
  <c r="AD47" i="4"/>
  <c r="AF47" i="4"/>
  <c r="X48" i="4"/>
  <c r="Y48" i="4"/>
  <c r="AA48" i="4"/>
  <c r="AB48" i="4"/>
  <c r="AD48" i="4"/>
  <c r="AF48" i="4"/>
  <c r="X49" i="4"/>
  <c r="Y49" i="4"/>
  <c r="AA49" i="4"/>
  <c r="AB49" i="4"/>
  <c r="AD49" i="4"/>
  <c r="AF49" i="4"/>
  <c r="X50" i="4"/>
  <c r="Y50" i="4"/>
  <c r="AA50" i="4"/>
  <c r="AB50" i="4"/>
  <c r="AD50" i="4"/>
  <c r="AF50" i="4"/>
  <c r="X51" i="4"/>
  <c r="Y51" i="4"/>
  <c r="AA51" i="4"/>
  <c r="AB51" i="4"/>
  <c r="AD51" i="4"/>
  <c r="AF51" i="4"/>
  <c r="X52" i="4"/>
  <c r="Y52" i="4"/>
  <c r="AA52" i="4"/>
  <c r="AB52" i="4"/>
  <c r="AD52" i="4"/>
  <c r="AF52" i="4"/>
  <c r="X53" i="4"/>
  <c r="Y53" i="4"/>
  <c r="AA53" i="4"/>
  <c r="AB53" i="4"/>
  <c r="AD53" i="4"/>
  <c r="AF53" i="4"/>
  <c r="X54" i="4"/>
  <c r="Y54" i="4"/>
  <c r="AA54" i="4"/>
  <c r="AB54" i="4"/>
  <c r="AD54" i="4"/>
  <c r="AF54" i="4"/>
  <c r="X55" i="4"/>
  <c r="Y55" i="4"/>
  <c r="AA55" i="4"/>
  <c r="AB55" i="4"/>
  <c r="AD55" i="4"/>
  <c r="AF55" i="4"/>
  <c r="X56" i="4"/>
  <c r="Y56" i="4"/>
  <c r="AA56" i="4"/>
  <c r="AB56" i="4"/>
  <c r="AD56" i="4"/>
  <c r="AF56" i="4"/>
  <c r="X57" i="4"/>
  <c r="Y57" i="4"/>
  <c r="AA57" i="4"/>
  <c r="AB57" i="4"/>
  <c r="AD57" i="4"/>
  <c r="AF57" i="4"/>
  <c r="X58" i="4"/>
  <c r="Y58" i="4"/>
  <c r="AA58" i="4"/>
  <c r="AB58" i="4"/>
  <c r="AD58" i="4"/>
  <c r="AF58" i="4"/>
  <c r="X59" i="4"/>
  <c r="Y59" i="4"/>
  <c r="AA59" i="4"/>
  <c r="AB59" i="4"/>
  <c r="AD59" i="4"/>
  <c r="AF59" i="4"/>
  <c r="X60" i="4"/>
  <c r="Y60" i="4"/>
  <c r="AA60" i="4"/>
  <c r="AB60" i="4"/>
  <c r="AD60" i="4"/>
  <c r="AF60" i="4"/>
  <c r="X61" i="4"/>
  <c r="Y61" i="4"/>
  <c r="AA61" i="4"/>
  <c r="AB61" i="4"/>
  <c r="AD61" i="4"/>
  <c r="Y62" i="4"/>
  <c r="AA62" i="4"/>
  <c r="AB62" i="4"/>
  <c r="AD62" i="4"/>
  <c r="AF62" i="4"/>
  <c r="Y63" i="4"/>
  <c r="AB63" i="4"/>
  <c r="AD63" i="4"/>
  <c r="AF63" i="4"/>
  <c r="AB64" i="4"/>
  <c r="AD64" i="4"/>
  <c r="AF64" i="4"/>
  <c r="Y8" i="4"/>
  <c r="AB8" i="4"/>
  <c r="X8" i="4"/>
  <c r="K67" i="4" l="1"/>
  <c r="AE67" i="4"/>
  <c r="AQ69" i="2"/>
  <c r="I68" i="4"/>
  <c r="R17" i="9"/>
  <c r="B10" i="22" s="1"/>
  <c r="F10" i="22" s="1"/>
  <c r="C84" i="21" s="1"/>
  <c r="S19" i="12"/>
  <c r="O66" i="6"/>
  <c r="F66" i="6"/>
  <c r="R66" i="6" s="1"/>
  <c r="U66" i="6"/>
  <c r="D66" i="6"/>
  <c r="P66" i="6" s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S64" i="1" s="1"/>
  <c r="K9" i="1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9" i="5"/>
  <c r="T16" i="4"/>
  <c r="T17" i="4"/>
  <c r="T18" i="4"/>
  <c r="T19" i="4"/>
  <c r="T20" i="4"/>
  <c r="T21" i="4"/>
  <c r="T22" i="4"/>
  <c r="T23" i="4"/>
  <c r="T24" i="4"/>
  <c r="T25" i="4"/>
  <c r="T26" i="4"/>
  <c r="T27" i="4"/>
  <c r="T28" i="4"/>
  <c r="T29" i="4"/>
  <c r="T30" i="4"/>
  <c r="T31" i="4"/>
  <c r="T32" i="4"/>
  <c r="T33" i="4"/>
  <c r="T34" i="4"/>
  <c r="T35" i="4"/>
  <c r="T36" i="4"/>
  <c r="T37" i="4"/>
  <c r="T38" i="4"/>
  <c r="T39" i="4"/>
  <c r="T40" i="4"/>
  <c r="T41" i="4"/>
  <c r="T42" i="4"/>
  <c r="T43" i="4"/>
  <c r="T44" i="4"/>
  <c r="T45" i="4"/>
  <c r="T46" i="4"/>
  <c r="T47" i="4"/>
  <c r="T48" i="4"/>
  <c r="T49" i="4"/>
  <c r="T50" i="4"/>
  <c r="T51" i="4"/>
  <c r="T52" i="4"/>
  <c r="T53" i="4"/>
  <c r="T54" i="4"/>
  <c r="T55" i="4"/>
  <c r="T56" i="4"/>
  <c r="I5" i="17" s="1"/>
  <c r="K5" i="17" s="1"/>
  <c r="T57" i="4"/>
  <c r="I6" i="17" s="1"/>
  <c r="K6" i="17" s="1"/>
  <c r="T58" i="4"/>
  <c r="I7" i="17" s="1"/>
  <c r="K7" i="17" s="1"/>
  <c r="T59" i="4"/>
  <c r="T60" i="4"/>
  <c r="T61" i="4"/>
  <c r="T62" i="4"/>
  <c r="T63" i="4"/>
  <c r="AC62" i="4"/>
  <c r="AC63" i="4"/>
  <c r="O9" i="4"/>
  <c r="O10" i="4"/>
  <c r="O11" i="4"/>
  <c r="O12" i="4"/>
  <c r="O13" i="4"/>
  <c r="O14" i="4"/>
  <c r="O15" i="4"/>
  <c r="L16" i="1" s="1"/>
  <c r="O16" i="4"/>
  <c r="L17" i="1" s="1"/>
  <c r="O17" i="4"/>
  <c r="L18" i="1" s="1"/>
  <c r="O18" i="4"/>
  <c r="L19" i="1" s="1"/>
  <c r="O19" i="4"/>
  <c r="L20" i="1" s="1"/>
  <c r="O20" i="4"/>
  <c r="L21" i="1" s="1"/>
  <c r="O21" i="4"/>
  <c r="L22" i="1" s="1"/>
  <c r="O22" i="4"/>
  <c r="L23" i="1" s="1"/>
  <c r="O23" i="4"/>
  <c r="L24" i="1" s="1"/>
  <c r="O24" i="4"/>
  <c r="L25" i="1" s="1"/>
  <c r="O25" i="4"/>
  <c r="L26" i="1" s="1"/>
  <c r="O26" i="4"/>
  <c r="L27" i="1" s="1"/>
  <c r="O27" i="4"/>
  <c r="L28" i="1" s="1"/>
  <c r="O28" i="4"/>
  <c r="L29" i="1" s="1"/>
  <c r="O29" i="4"/>
  <c r="L30" i="1" s="1"/>
  <c r="O30" i="4"/>
  <c r="L31" i="1" s="1"/>
  <c r="O31" i="4"/>
  <c r="L32" i="1" s="1"/>
  <c r="O32" i="4"/>
  <c r="L33" i="1" s="1"/>
  <c r="O33" i="4"/>
  <c r="L34" i="1" s="1"/>
  <c r="O34" i="4"/>
  <c r="L35" i="1" s="1"/>
  <c r="O35" i="4"/>
  <c r="L36" i="1" s="1"/>
  <c r="O36" i="4"/>
  <c r="L37" i="1" s="1"/>
  <c r="O37" i="4"/>
  <c r="L38" i="1" s="1"/>
  <c r="O38" i="4"/>
  <c r="L39" i="1" s="1"/>
  <c r="O39" i="4"/>
  <c r="L40" i="1" s="1"/>
  <c r="O40" i="4"/>
  <c r="L41" i="1" s="1"/>
  <c r="O41" i="4"/>
  <c r="L42" i="1" s="1"/>
  <c r="O42" i="4"/>
  <c r="L43" i="1" s="1"/>
  <c r="O43" i="4"/>
  <c r="L44" i="1" s="1"/>
  <c r="O44" i="4"/>
  <c r="L45" i="1" s="1"/>
  <c r="O45" i="4"/>
  <c r="L46" i="1" s="1"/>
  <c r="O46" i="4"/>
  <c r="L47" i="1" s="1"/>
  <c r="O47" i="4"/>
  <c r="L48" i="1" s="1"/>
  <c r="O48" i="4"/>
  <c r="L49" i="1" s="1"/>
  <c r="O49" i="4"/>
  <c r="L50" i="1" s="1"/>
  <c r="O50" i="4"/>
  <c r="L51" i="1" s="1"/>
  <c r="O51" i="4"/>
  <c r="L52" i="1" s="1"/>
  <c r="O52" i="4"/>
  <c r="L53" i="1" s="1"/>
  <c r="O53" i="4"/>
  <c r="L54" i="1" s="1"/>
  <c r="O54" i="4"/>
  <c r="L55" i="1" s="1"/>
  <c r="O55" i="4"/>
  <c r="L56" i="1" s="1"/>
  <c r="O56" i="4"/>
  <c r="L57" i="1" s="1"/>
  <c r="O57" i="4"/>
  <c r="L58" i="1" s="1"/>
  <c r="O58" i="4"/>
  <c r="L59" i="1" s="1"/>
  <c r="O59" i="4"/>
  <c r="L60" i="1" s="1"/>
  <c r="O60" i="4"/>
  <c r="L61" i="1" s="1"/>
  <c r="O61" i="4"/>
  <c r="L62" i="1" s="1"/>
  <c r="O62" i="4"/>
  <c r="L63" i="1" s="1"/>
  <c r="L64" i="1"/>
  <c r="K68" i="4" l="1"/>
  <c r="AE68" i="4"/>
  <c r="C67" i="6"/>
  <c r="AG67" i="4"/>
  <c r="E37" i="21"/>
  <c r="M61" i="1"/>
  <c r="N61" i="1" s="1"/>
  <c r="M57" i="1"/>
  <c r="N57" i="1" s="1"/>
  <c r="M53" i="1"/>
  <c r="N53" i="1" s="1"/>
  <c r="M49" i="1"/>
  <c r="N49" i="1" s="1"/>
  <c r="M45" i="1"/>
  <c r="N45" i="1" s="1"/>
  <c r="M41" i="1"/>
  <c r="N41" i="1" s="1"/>
  <c r="M37" i="1"/>
  <c r="N37" i="1" s="1"/>
  <c r="M33" i="1"/>
  <c r="N33" i="1" s="1"/>
  <c r="M29" i="1"/>
  <c r="N29" i="1" s="1"/>
  <c r="M25" i="1"/>
  <c r="N25" i="1" s="1"/>
  <c r="M21" i="1"/>
  <c r="N21" i="1" s="1"/>
  <c r="M17" i="1"/>
  <c r="N17" i="1" s="1"/>
  <c r="Y17" i="9"/>
  <c r="K37" i="21"/>
  <c r="L19" i="12"/>
  <c r="R19" i="12" s="1"/>
  <c r="T19" i="12" s="1"/>
  <c r="X66" i="6"/>
  <c r="M64" i="1"/>
  <c r="N64" i="1" s="1"/>
  <c r="M56" i="1"/>
  <c r="N56" i="1" s="1"/>
  <c r="M52" i="1"/>
  <c r="M44" i="1"/>
  <c r="M40" i="1"/>
  <c r="N40" i="1" s="1"/>
  <c r="M36" i="1"/>
  <c r="N36" i="1" s="1"/>
  <c r="M32" i="1"/>
  <c r="N32" i="1" s="1"/>
  <c r="M28" i="1"/>
  <c r="N28" i="1" s="1"/>
  <c r="M24" i="1"/>
  <c r="N24" i="1" s="1"/>
  <c r="M20" i="1"/>
  <c r="N20" i="1" s="1"/>
  <c r="M16" i="1"/>
  <c r="N16" i="1" s="1"/>
  <c r="M60" i="1"/>
  <c r="M48" i="1"/>
  <c r="N48" i="1" s="1"/>
  <c r="M62" i="1"/>
  <c r="N62" i="1" s="1"/>
  <c r="M58" i="1"/>
  <c r="N58" i="1" s="1"/>
  <c r="M54" i="1"/>
  <c r="N54" i="1" s="1"/>
  <c r="M50" i="1"/>
  <c r="N50" i="1" s="1"/>
  <c r="M46" i="1"/>
  <c r="N46" i="1" s="1"/>
  <c r="M42" i="1"/>
  <c r="N42" i="1" s="1"/>
  <c r="M38" i="1"/>
  <c r="N38" i="1" s="1"/>
  <c r="M34" i="1"/>
  <c r="N34" i="1" s="1"/>
  <c r="M30" i="1"/>
  <c r="N30" i="1" s="1"/>
  <c r="M26" i="1"/>
  <c r="N26" i="1" s="1"/>
  <c r="M22" i="1"/>
  <c r="N22" i="1" s="1"/>
  <c r="M18" i="1"/>
  <c r="N18" i="1" s="1"/>
  <c r="M63" i="1"/>
  <c r="N63" i="1" s="1"/>
  <c r="M59" i="1"/>
  <c r="N59" i="1" s="1"/>
  <c r="M55" i="1"/>
  <c r="N55" i="1" s="1"/>
  <c r="M51" i="1"/>
  <c r="N51" i="1" s="1"/>
  <c r="M47" i="1"/>
  <c r="N47" i="1" s="1"/>
  <c r="M43" i="1"/>
  <c r="N43" i="1" s="1"/>
  <c r="M39" i="1"/>
  <c r="N39" i="1" s="1"/>
  <c r="M35" i="1"/>
  <c r="N35" i="1" s="1"/>
  <c r="M31" i="1"/>
  <c r="N31" i="1" s="1"/>
  <c r="M27" i="1"/>
  <c r="N27" i="1" s="1"/>
  <c r="M23" i="1"/>
  <c r="N23" i="1" s="1"/>
  <c r="M19" i="1"/>
  <c r="N19" i="1" s="1"/>
  <c r="V66" i="6"/>
  <c r="V59" i="4"/>
  <c r="AE59" i="4"/>
  <c r="V51" i="4"/>
  <c r="AE51" i="4"/>
  <c r="V47" i="4"/>
  <c r="AE47" i="4"/>
  <c r="V39" i="4"/>
  <c r="AE39" i="4"/>
  <c r="V31" i="4"/>
  <c r="AE31" i="4"/>
  <c r="V19" i="4"/>
  <c r="AE19" i="4"/>
  <c r="V58" i="4"/>
  <c r="AE58" i="4"/>
  <c r="V54" i="4"/>
  <c r="AE54" i="4"/>
  <c r="V42" i="4"/>
  <c r="AE42" i="4"/>
  <c r="V34" i="4"/>
  <c r="AE34" i="4"/>
  <c r="V26" i="4"/>
  <c r="AE26" i="4"/>
  <c r="V18" i="4"/>
  <c r="AE18" i="4"/>
  <c r="V61" i="4"/>
  <c r="AE61" i="4"/>
  <c r="V57" i="4"/>
  <c r="AE57" i="4"/>
  <c r="V53" i="4"/>
  <c r="AE53" i="4"/>
  <c r="V49" i="4"/>
  <c r="AE49" i="4"/>
  <c r="V45" i="4"/>
  <c r="AE45" i="4"/>
  <c r="V41" i="4"/>
  <c r="AE41" i="4"/>
  <c r="V37" i="4"/>
  <c r="AE37" i="4"/>
  <c r="V33" i="4"/>
  <c r="AE33" i="4"/>
  <c r="V29" i="4"/>
  <c r="AE29" i="4"/>
  <c r="V25" i="4"/>
  <c r="AE25" i="4"/>
  <c r="V21" i="4"/>
  <c r="AE21" i="4"/>
  <c r="V17" i="4"/>
  <c r="AE17" i="4"/>
  <c r="V63" i="4"/>
  <c r="AE63" i="4"/>
  <c r="V55" i="4"/>
  <c r="AE55" i="4"/>
  <c r="V43" i="4"/>
  <c r="AE43" i="4"/>
  <c r="V35" i="4"/>
  <c r="AE35" i="4"/>
  <c r="V27" i="4"/>
  <c r="AE27" i="4"/>
  <c r="V23" i="4"/>
  <c r="AE23" i="4"/>
  <c r="V62" i="4"/>
  <c r="AE62" i="4"/>
  <c r="V50" i="4"/>
  <c r="AE50" i="4"/>
  <c r="V46" i="4"/>
  <c r="AE46" i="4"/>
  <c r="V38" i="4"/>
  <c r="AE38" i="4"/>
  <c r="V30" i="4"/>
  <c r="AE30" i="4"/>
  <c r="V22" i="4"/>
  <c r="AE22" i="4"/>
  <c r="V60" i="4"/>
  <c r="AE60" i="4"/>
  <c r="V56" i="4"/>
  <c r="AE56" i="4"/>
  <c r="V52" i="4"/>
  <c r="AE52" i="4"/>
  <c r="V48" i="4"/>
  <c r="AE48" i="4"/>
  <c r="V44" i="4"/>
  <c r="AE44" i="4"/>
  <c r="V40" i="4"/>
  <c r="AE40" i="4"/>
  <c r="V36" i="4"/>
  <c r="AE36" i="4"/>
  <c r="V32" i="4"/>
  <c r="AE32" i="4"/>
  <c r="V28" i="4"/>
  <c r="AE28" i="4"/>
  <c r="V24" i="4"/>
  <c r="AE24" i="4"/>
  <c r="V20" i="4"/>
  <c r="AE20" i="4"/>
  <c r="V16" i="4"/>
  <c r="AE16" i="4"/>
  <c r="N52" i="1"/>
  <c r="N44" i="1"/>
  <c r="N60" i="1"/>
  <c r="O67" i="6" l="1"/>
  <c r="B67" i="6"/>
  <c r="U67" i="6"/>
  <c r="X67" i="6" s="1"/>
  <c r="F67" i="6"/>
  <c r="R67" i="6" s="1"/>
  <c r="AG68" i="4"/>
  <c r="C68" i="6"/>
  <c r="I16" i="6"/>
  <c r="L16" i="6" s="1"/>
  <c r="I24" i="6"/>
  <c r="I32" i="6"/>
  <c r="I40" i="6"/>
  <c r="I48" i="6"/>
  <c r="I56" i="6"/>
  <c r="I22" i="6"/>
  <c r="I38" i="6"/>
  <c r="I50" i="6"/>
  <c r="I23" i="6"/>
  <c r="I35" i="6"/>
  <c r="I55" i="6"/>
  <c r="I17" i="6"/>
  <c r="L17" i="6" s="1"/>
  <c r="I25" i="6"/>
  <c r="L25" i="6" s="1"/>
  <c r="I33" i="6"/>
  <c r="L33" i="6" s="1"/>
  <c r="I41" i="6"/>
  <c r="L41" i="6" s="1"/>
  <c r="I49" i="6"/>
  <c r="L49" i="6" s="1"/>
  <c r="I57" i="6"/>
  <c r="I18" i="6"/>
  <c r="I34" i="6"/>
  <c r="I54" i="6"/>
  <c r="I19" i="6"/>
  <c r="I39" i="6"/>
  <c r="I51" i="6"/>
  <c r="I20" i="6"/>
  <c r="I28" i="6"/>
  <c r="I36" i="6"/>
  <c r="L36" i="6" s="1"/>
  <c r="I44" i="6"/>
  <c r="I52" i="6"/>
  <c r="I60" i="6"/>
  <c r="I30" i="6"/>
  <c r="I46" i="6"/>
  <c r="I62" i="6"/>
  <c r="I27" i="6"/>
  <c r="I43" i="6"/>
  <c r="I63" i="6"/>
  <c r="I21" i="6"/>
  <c r="L21" i="6" s="1"/>
  <c r="I29" i="6"/>
  <c r="L29" i="6" s="1"/>
  <c r="I37" i="6"/>
  <c r="L37" i="6" s="1"/>
  <c r="I45" i="6"/>
  <c r="L45" i="6" s="1"/>
  <c r="I53" i="6"/>
  <c r="L53" i="6" s="1"/>
  <c r="I61" i="6"/>
  <c r="L61" i="6" s="1"/>
  <c r="I26" i="6"/>
  <c r="I42" i="6"/>
  <c r="L42" i="6" s="1"/>
  <c r="I58" i="6"/>
  <c r="I31" i="6"/>
  <c r="I47" i="6"/>
  <c r="I59" i="6"/>
  <c r="T64" i="4"/>
  <c r="F68" i="6" l="1"/>
  <c r="R68" i="6" s="1"/>
  <c r="B68" i="6"/>
  <c r="O68" i="6"/>
  <c r="U68" i="6"/>
  <c r="X68" i="6" s="1"/>
  <c r="N67" i="6"/>
  <c r="D67" i="6"/>
  <c r="P67" i="6" s="1"/>
  <c r="T67" i="6"/>
  <c r="E67" i="6"/>
  <c r="Q67" i="6" s="1"/>
  <c r="L18" i="6"/>
  <c r="L26" i="6"/>
  <c r="L30" i="6"/>
  <c r="L20" i="6"/>
  <c r="L51" i="6"/>
  <c r="L47" i="6"/>
  <c r="L35" i="6"/>
  <c r="L43" i="6"/>
  <c r="L39" i="6"/>
  <c r="L62" i="6"/>
  <c r="L52" i="6"/>
  <c r="L59" i="6"/>
  <c r="L31" i="6"/>
  <c r="L63" i="6"/>
  <c r="U63" i="6"/>
  <c r="L27" i="6"/>
  <c r="L46" i="6"/>
  <c r="L60" i="6"/>
  <c r="L44" i="6"/>
  <c r="L28" i="6"/>
  <c r="L19" i="6"/>
  <c r="L34" i="6"/>
  <c r="L57" i="6"/>
  <c r="U57" i="6"/>
  <c r="L55" i="6"/>
  <c r="L23" i="6"/>
  <c r="L38" i="6"/>
  <c r="L56" i="6"/>
  <c r="L40" i="6"/>
  <c r="L24" i="6"/>
  <c r="J59" i="6"/>
  <c r="J31" i="6"/>
  <c r="M29" i="8" s="1"/>
  <c r="N29" i="8" s="1"/>
  <c r="P29" i="8" s="1"/>
  <c r="J42" i="6"/>
  <c r="M40" i="8" s="1"/>
  <c r="N40" i="8" s="1"/>
  <c r="P40" i="8" s="1"/>
  <c r="J61" i="6"/>
  <c r="J45" i="6"/>
  <c r="M43" i="8" s="1"/>
  <c r="N43" i="8" s="1"/>
  <c r="P43" i="8" s="1"/>
  <c r="J29" i="6"/>
  <c r="M27" i="8" s="1"/>
  <c r="N27" i="8" s="1"/>
  <c r="P27" i="8" s="1"/>
  <c r="J63" i="6"/>
  <c r="J27" i="6"/>
  <c r="M25" i="8" s="1"/>
  <c r="N25" i="8" s="1"/>
  <c r="P25" i="8" s="1"/>
  <c r="J46" i="6"/>
  <c r="M44" i="8" s="1"/>
  <c r="N44" i="8" s="1"/>
  <c r="P44" i="8" s="1"/>
  <c r="J60" i="6"/>
  <c r="J44" i="6"/>
  <c r="M42" i="8" s="1"/>
  <c r="N42" i="8" s="1"/>
  <c r="P42" i="8" s="1"/>
  <c r="J28" i="6"/>
  <c r="M26" i="8" s="1"/>
  <c r="N26" i="8" s="1"/>
  <c r="P26" i="8" s="1"/>
  <c r="J51" i="6"/>
  <c r="M49" i="8" s="1"/>
  <c r="N49" i="8" s="1"/>
  <c r="P49" i="8" s="1"/>
  <c r="J19" i="6"/>
  <c r="J34" i="6"/>
  <c r="M32" i="8" s="1"/>
  <c r="N32" i="8" s="1"/>
  <c r="P32" i="8" s="1"/>
  <c r="J57" i="6"/>
  <c r="J41" i="6"/>
  <c r="M39" i="8" s="1"/>
  <c r="N39" i="8" s="1"/>
  <c r="P39" i="8" s="1"/>
  <c r="J25" i="6"/>
  <c r="M23" i="8" s="1"/>
  <c r="N23" i="8" s="1"/>
  <c r="P23" i="8" s="1"/>
  <c r="J55" i="6"/>
  <c r="J23" i="6"/>
  <c r="M21" i="8" s="1"/>
  <c r="N21" i="8" s="1"/>
  <c r="P21" i="8" s="1"/>
  <c r="J38" i="6"/>
  <c r="M36" i="8" s="1"/>
  <c r="N36" i="8" s="1"/>
  <c r="P36" i="8" s="1"/>
  <c r="J56" i="6"/>
  <c r="J40" i="6"/>
  <c r="M38" i="8" s="1"/>
  <c r="N38" i="8" s="1"/>
  <c r="P38" i="8" s="1"/>
  <c r="J24" i="6"/>
  <c r="M22" i="8" s="1"/>
  <c r="N22" i="8" s="1"/>
  <c r="P22" i="8" s="1"/>
  <c r="J58" i="6"/>
  <c r="L58" i="6"/>
  <c r="L54" i="6"/>
  <c r="L50" i="6"/>
  <c r="L22" i="6"/>
  <c r="L48" i="6"/>
  <c r="L32" i="6"/>
  <c r="J47" i="6"/>
  <c r="M45" i="8" s="1"/>
  <c r="N45" i="8" s="1"/>
  <c r="P45" i="8" s="1"/>
  <c r="J26" i="6"/>
  <c r="M24" i="8" s="1"/>
  <c r="N24" i="8" s="1"/>
  <c r="P24" i="8" s="1"/>
  <c r="J53" i="6"/>
  <c r="M51" i="8" s="1"/>
  <c r="N51" i="8" s="1"/>
  <c r="P51" i="8" s="1"/>
  <c r="J37" i="6"/>
  <c r="M35" i="8" s="1"/>
  <c r="N35" i="8" s="1"/>
  <c r="P35" i="8" s="1"/>
  <c r="J21" i="6"/>
  <c r="J43" i="6"/>
  <c r="M41" i="8" s="1"/>
  <c r="N41" i="8" s="1"/>
  <c r="P41" i="8" s="1"/>
  <c r="J62" i="6"/>
  <c r="J30" i="6"/>
  <c r="M28" i="8" s="1"/>
  <c r="N28" i="8" s="1"/>
  <c r="P28" i="8" s="1"/>
  <c r="J52" i="6"/>
  <c r="M50" i="8" s="1"/>
  <c r="N50" i="8" s="1"/>
  <c r="P50" i="8" s="1"/>
  <c r="J36" i="6"/>
  <c r="M34" i="8" s="1"/>
  <c r="N34" i="8" s="1"/>
  <c r="P34" i="8" s="1"/>
  <c r="J20" i="6"/>
  <c r="J39" i="6"/>
  <c r="M37" i="8" s="1"/>
  <c r="N37" i="8" s="1"/>
  <c r="P37" i="8" s="1"/>
  <c r="J54" i="6"/>
  <c r="J18" i="6"/>
  <c r="J49" i="6"/>
  <c r="M47" i="8" s="1"/>
  <c r="N47" i="8" s="1"/>
  <c r="P47" i="8" s="1"/>
  <c r="J33" i="6"/>
  <c r="M31" i="8" s="1"/>
  <c r="N31" i="8" s="1"/>
  <c r="P31" i="8" s="1"/>
  <c r="J17" i="6"/>
  <c r="J35" i="6"/>
  <c r="M33" i="8" s="1"/>
  <c r="N33" i="8" s="1"/>
  <c r="P33" i="8" s="1"/>
  <c r="J50" i="6"/>
  <c r="M48" i="8" s="1"/>
  <c r="N48" i="8" s="1"/>
  <c r="P48" i="8" s="1"/>
  <c r="J22" i="6"/>
  <c r="J48" i="6"/>
  <c r="M46" i="8" s="1"/>
  <c r="N46" i="8" s="1"/>
  <c r="P46" i="8" s="1"/>
  <c r="J32" i="6"/>
  <c r="M30" i="8" s="1"/>
  <c r="N30" i="8" s="1"/>
  <c r="P30" i="8" s="1"/>
  <c r="J16" i="6"/>
  <c r="V64" i="4"/>
  <c r="AE64" i="4"/>
  <c r="D13" i="5"/>
  <c r="L13" i="5" s="1"/>
  <c r="D14" i="5"/>
  <c r="L14" i="5" s="1"/>
  <c r="D15" i="5"/>
  <c r="L15" i="5" s="1"/>
  <c r="D16" i="5"/>
  <c r="L16" i="5" s="1"/>
  <c r="D17" i="5"/>
  <c r="L17" i="5" s="1"/>
  <c r="D18" i="5"/>
  <c r="L18" i="5" s="1"/>
  <c r="D19" i="5"/>
  <c r="L19" i="5" s="1"/>
  <c r="D20" i="5"/>
  <c r="L20" i="5" s="1"/>
  <c r="D21" i="5"/>
  <c r="L21" i="5" s="1"/>
  <c r="D22" i="5"/>
  <c r="L22" i="5" s="1"/>
  <c r="D23" i="5"/>
  <c r="L23" i="5" s="1"/>
  <c r="D24" i="5"/>
  <c r="L24" i="5" s="1"/>
  <c r="D25" i="5"/>
  <c r="L25" i="5" s="1"/>
  <c r="D26" i="5"/>
  <c r="L26" i="5" s="1"/>
  <c r="D27" i="5"/>
  <c r="L27" i="5" s="1"/>
  <c r="D28" i="5"/>
  <c r="L28" i="5" s="1"/>
  <c r="D29" i="5"/>
  <c r="L29" i="5" s="1"/>
  <c r="D30" i="5"/>
  <c r="L30" i="5" s="1"/>
  <c r="D31" i="5"/>
  <c r="L31" i="5" s="1"/>
  <c r="D32" i="5"/>
  <c r="L32" i="5" s="1"/>
  <c r="D33" i="5"/>
  <c r="L33" i="5" s="1"/>
  <c r="D34" i="5"/>
  <c r="L34" i="5" s="1"/>
  <c r="D35" i="5"/>
  <c r="L35" i="5" s="1"/>
  <c r="D36" i="5"/>
  <c r="L36" i="5" s="1"/>
  <c r="D37" i="5"/>
  <c r="L37" i="5" s="1"/>
  <c r="D38" i="5"/>
  <c r="L38" i="5" s="1"/>
  <c r="D39" i="5"/>
  <c r="L39" i="5" s="1"/>
  <c r="D40" i="5"/>
  <c r="L40" i="5" s="1"/>
  <c r="D41" i="5"/>
  <c r="L41" i="5" s="1"/>
  <c r="D42" i="5"/>
  <c r="L42" i="5" s="1"/>
  <c r="D43" i="5"/>
  <c r="L43" i="5" s="1"/>
  <c r="D44" i="5"/>
  <c r="L44" i="5" s="1"/>
  <c r="D45" i="5"/>
  <c r="L45" i="5" s="1"/>
  <c r="D46" i="5"/>
  <c r="L46" i="5" s="1"/>
  <c r="D47" i="5"/>
  <c r="L47" i="5" s="1"/>
  <c r="D48" i="5"/>
  <c r="L48" i="5" s="1"/>
  <c r="D49" i="5"/>
  <c r="L49" i="5" s="1"/>
  <c r="D50" i="5"/>
  <c r="L50" i="5" s="1"/>
  <c r="D51" i="5"/>
  <c r="L51" i="5" s="1"/>
  <c r="D52" i="5"/>
  <c r="L52" i="5" s="1"/>
  <c r="D53" i="5"/>
  <c r="L53" i="5" s="1"/>
  <c r="D54" i="5"/>
  <c r="L54" i="5" s="1"/>
  <c r="D55" i="5"/>
  <c r="L55" i="5" s="1"/>
  <c r="D56" i="5"/>
  <c r="L56" i="5" s="1"/>
  <c r="D57" i="5"/>
  <c r="L57" i="5" s="1"/>
  <c r="D58" i="5"/>
  <c r="L58" i="5" s="1"/>
  <c r="D59" i="5"/>
  <c r="L59" i="5" s="1"/>
  <c r="D60" i="5"/>
  <c r="L60" i="5" s="1"/>
  <c r="D61" i="5"/>
  <c r="L61" i="5" s="1"/>
  <c r="D62" i="5"/>
  <c r="L62" i="5" s="1"/>
  <c r="D63" i="5"/>
  <c r="L63" i="5" s="1"/>
  <c r="D64" i="5"/>
  <c r="L64" i="5" s="1"/>
  <c r="V67" i="6" l="1"/>
  <c r="W67" i="6"/>
  <c r="E68" i="6"/>
  <c r="Q68" i="6" s="1"/>
  <c r="D68" i="6"/>
  <c r="P68" i="6" s="1"/>
  <c r="T68" i="6"/>
  <c r="N68" i="6"/>
  <c r="M11" i="12"/>
  <c r="N11" i="12" s="1"/>
  <c r="M56" i="8"/>
  <c r="N56" i="8" s="1"/>
  <c r="P56" i="8" s="1"/>
  <c r="O9" i="9" s="1"/>
  <c r="M57" i="8"/>
  <c r="N57" i="8" s="1"/>
  <c r="P57" i="8" s="1"/>
  <c r="O10" i="9" s="1"/>
  <c r="D6" i="21" s="1"/>
  <c r="M12" i="12"/>
  <c r="V63" i="6"/>
  <c r="AA61" i="8" s="1"/>
  <c r="AB61" i="8" s="1"/>
  <c r="AD61" i="8" s="1"/>
  <c r="M52" i="8"/>
  <c r="N52" i="8" s="1"/>
  <c r="P52" i="8" s="1"/>
  <c r="O5" i="9" s="1"/>
  <c r="Q5" i="9" s="1"/>
  <c r="S5" i="9" s="1"/>
  <c r="M7" i="12"/>
  <c r="N7" i="12" s="1"/>
  <c r="M55" i="8"/>
  <c r="N55" i="8" s="1"/>
  <c r="P55" i="8" s="1"/>
  <c r="O8" i="9" s="1"/>
  <c r="M10" i="12"/>
  <c r="M59" i="8"/>
  <c r="N59" i="8" s="1"/>
  <c r="P59" i="8" s="1"/>
  <c r="O12" i="9" s="1"/>
  <c r="M14" i="12"/>
  <c r="M53" i="8"/>
  <c r="N53" i="8" s="1"/>
  <c r="P53" i="8" s="1"/>
  <c r="O6" i="9" s="1"/>
  <c r="M8" i="12"/>
  <c r="N8" i="12" s="1"/>
  <c r="M16" i="12"/>
  <c r="M61" i="8"/>
  <c r="N61" i="8" s="1"/>
  <c r="P61" i="8" s="1"/>
  <c r="O14" i="9" s="1"/>
  <c r="I64" i="6"/>
  <c r="M60" i="8"/>
  <c r="N60" i="8" s="1"/>
  <c r="M15" i="12"/>
  <c r="M54" i="8"/>
  <c r="N54" i="8" s="1"/>
  <c r="P54" i="8" s="1"/>
  <c r="O7" i="9" s="1"/>
  <c r="M9" i="12"/>
  <c r="N9" i="12" s="1"/>
  <c r="M58" i="8"/>
  <c r="N58" i="8" s="1"/>
  <c r="P58" i="8" s="1"/>
  <c r="O11" i="9" s="1"/>
  <c r="M13" i="12"/>
  <c r="M63" i="8"/>
  <c r="N63" i="8" s="1"/>
  <c r="P63" i="8" s="1"/>
  <c r="AC11" i="4"/>
  <c r="AC12" i="4"/>
  <c r="AC13" i="4"/>
  <c r="AC14" i="4"/>
  <c r="AC15" i="4"/>
  <c r="AC16" i="4"/>
  <c r="AC17" i="4"/>
  <c r="AC18" i="4"/>
  <c r="AC19" i="4"/>
  <c r="AC20" i="4"/>
  <c r="AC21" i="4"/>
  <c r="AC22" i="4"/>
  <c r="AC23" i="4"/>
  <c r="AC24" i="4"/>
  <c r="AC25" i="4"/>
  <c r="AC26" i="4"/>
  <c r="AC27" i="4"/>
  <c r="AC28" i="4"/>
  <c r="AC29" i="4"/>
  <c r="AC30" i="4"/>
  <c r="AC31" i="4"/>
  <c r="AC32" i="4"/>
  <c r="AC33" i="4"/>
  <c r="AC34" i="4"/>
  <c r="AC35" i="4"/>
  <c r="AC36" i="4"/>
  <c r="AC37" i="4"/>
  <c r="AC38" i="4"/>
  <c r="AC39" i="4"/>
  <c r="AC40" i="4"/>
  <c r="AC41" i="4"/>
  <c r="AC42" i="4"/>
  <c r="AC43" i="4"/>
  <c r="AC44" i="4"/>
  <c r="AC45" i="4"/>
  <c r="AC46" i="4"/>
  <c r="AC47" i="4"/>
  <c r="AC48" i="4"/>
  <c r="AC49" i="4"/>
  <c r="AC50" i="4"/>
  <c r="AC51" i="4"/>
  <c r="AC52" i="4"/>
  <c r="AC53" i="4"/>
  <c r="AC54" i="4"/>
  <c r="AC55" i="4"/>
  <c r="AC56" i="4"/>
  <c r="AC57" i="4"/>
  <c r="AC58" i="4"/>
  <c r="AC59" i="4"/>
  <c r="AC60" i="4"/>
  <c r="AC61" i="4"/>
  <c r="W68" i="6" l="1"/>
  <c r="V68" i="6"/>
  <c r="N13" i="12"/>
  <c r="K7" i="21"/>
  <c r="N16" i="12"/>
  <c r="K10" i="21"/>
  <c r="R10" i="12"/>
  <c r="N10" i="12"/>
  <c r="N12" i="12"/>
  <c r="K6" i="21"/>
  <c r="N14" i="12"/>
  <c r="K8" i="21"/>
  <c r="N15" i="12"/>
  <c r="K9" i="21"/>
  <c r="C32" i="21"/>
  <c r="D8" i="21"/>
  <c r="Q14" i="9"/>
  <c r="C34" i="21"/>
  <c r="D10" i="21"/>
  <c r="C31" i="21"/>
  <c r="D7" i="21"/>
  <c r="T11" i="9"/>
  <c r="G31" i="21" s="1"/>
  <c r="Q11" i="9"/>
  <c r="P60" i="8"/>
  <c r="O13" i="9" s="1"/>
  <c r="T12" i="9"/>
  <c r="G32" i="21" s="1"/>
  <c r="Q12" i="9"/>
  <c r="S7" i="12"/>
  <c r="R5" i="9"/>
  <c r="L7" i="12" s="1"/>
  <c r="Q10" i="9"/>
  <c r="T10" i="9"/>
  <c r="L64" i="6"/>
  <c r="L65" i="6"/>
  <c r="T9" i="9"/>
  <c r="Q9" i="9"/>
  <c r="S9" i="9" s="1"/>
  <c r="T7" i="9"/>
  <c r="Q7" i="9"/>
  <c r="S7" i="9" s="1"/>
  <c r="J64" i="6"/>
  <c r="Q6" i="9"/>
  <c r="S6" i="9" s="1"/>
  <c r="T6" i="9"/>
  <c r="T8" i="9"/>
  <c r="Q8" i="9"/>
  <c r="S8" i="9" s="1"/>
  <c r="O16" i="9"/>
  <c r="K59" i="4"/>
  <c r="C59" i="6" s="1"/>
  <c r="K55" i="4"/>
  <c r="C55" i="6" s="1"/>
  <c r="K51" i="4"/>
  <c r="C51" i="6" s="1"/>
  <c r="K47" i="4"/>
  <c r="C47" i="6" s="1"/>
  <c r="K43" i="4"/>
  <c r="C43" i="6" s="1"/>
  <c r="K39" i="4"/>
  <c r="C39" i="6" s="1"/>
  <c r="K35" i="4"/>
  <c r="C35" i="6" s="1"/>
  <c r="K31" i="4"/>
  <c r="C31" i="6" s="1"/>
  <c r="K27" i="4"/>
  <c r="C27" i="6" s="1"/>
  <c r="K23" i="4"/>
  <c r="C23" i="6" s="1"/>
  <c r="K19" i="4"/>
  <c r="C19" i="6" s="1"/>
  <c r="K62" i="4"/>
  <c r="C62" i="6" s="1"/>
  <c r="K58" i="4"/>
  <c r="C58" i="6" s="1"/>
  <c r="K54" i="4"/>
  <c r="C54" i="6" s="1"/>
  <c r="K50" i="4"/>
  <c r="C50" i="6" s="1"/>
  <c r="K46" i="4"/>
  <c r="C46" i="6" s="1"/>
  <c r="K42" i="4"/>
  <c r="C42" i="6" s="1"/>
  <c r="K38" i="4"/>
  <c r="C38" i="6" s="1"/>
  <c r="K34" i="4"/>
  <c r="C34" i="6" s="1"/>
  <c r="K30" i="4"/>
  <c r="C30" i="6" s="1"/>
  <c r="K26" i="4"/>
  <c r="C26" i="6" s="1"/>
  <c r="K22" i="4"/>
  <c r="C22" i="6" s="1"/>
  <c r="K18" i="4"/>
  <c r="C18" i="6" s="1"/>
  <c r="K61" i="4"/>
  <c r="C61" i="6" s="1"/>
  <c r="K53" i="4"/>
  <c r="C53" i="6" s="1"/>
  <c r="K49" i="4"/>
  <c r="C49" i="6" s="1"/>
  <c r="K45" i="4"/>
  <c r="C45" i="6" s="1"/>
  <c r="K41" i="4"/>
  <c r="C41" i="6" s="1"/>
  <c r="K37" i="4"/>
  <c r="C37" i="6" s="1"/>
  <c r="K33" i="4"/>
  <c r="C33" i="6" s="1"/>
  <c r="K29" i="4"/>
  <c r="C29" i="6" s="1"/>
  <c r="K25" i="4"/>
  <c r="C25" i="6" s="1"/>
  <c r="K21" i="4"/>
  <c r="C21" i="6" s="1"/>
  <c r="K17" i="4"/>
  <c r="C17" i="6" s="1"/>
  <c r="K60" i="4"/>
  <c r="C60" i="6" s="1"/>
  <c r="K56" i="4"/>
  <c r="C56" i="6" s="1"/>
  <c r="K52" i="4"/>
  <c r="C52" i="6" s="1"/>
  <c r="K48" i="4"/>
  <c r="C48" i="6" s="1"/>
  <c r="K44" i="4"/>
  <c r="C44" i="6" s="1"/>
  <c r="K40" i="4"/>
  <c r="C40" i="6" s="1"/>
  <c r="K36" i="4"/>
  <c r="C36" i="6" s="1"/>
  <c r="K32" i="4"/>
  <c r="C32" i="6" s="1"/>
  <c r="K28" i="4"/>
  <c r="C28" i="6" s="1"/>
  <c r="K24" i="4"/>
  <c r="C24" i="6" s="1"/>
  <c r="K20" i="4"/>
  <c r="C20" i="6" s="1"/>
  <c r="K16" i="4"/>
  <c r="C16" i="6" s="1"/>
  <c r="F16" i="6" s="1"/>
  <c r="R16" i="6" s="1"/>
  <c r="K64" i="4"/>
  <c r="C64" i="6" s="1"/>
  <c r="F8" i="21" l="1"/>
  <c r="S12" i="9"/>
  <c r="C5" i="22" s="1"/>
  <c r="F6" i="21"/>
  <c r="S10" i="9"/>
  <c r="F10" i="21"/>
  <c r="S14" i="9"/>
  <c r="C7" i="22" s="1"/>
  <c r="L7" i="22" s="1"/>
  <c r="F7" i="21"/>
  <c r="S11" i="9"/>
  <c r="C36" i="21"/>
  <c r="D12" i="21"/>
  <c r="S16" i="12"/>
  <c r="T13" i="9"/>
  <c r="G33" i="21" s="1"/>
  <c r="C33" i="21"/>
  <c r="D9" i="21"/>
  <c r="R14" i="9"/>
  <c r="Y10" i="14" s="1"/>
  <c r="R11" i="14"/>
  <c r="AF11" i="14" s="1"/>
  <c r="Q13" i="9"/>
  <c r="S13" i="9" s="1"/>
  <c r="C6" i="22" s="1"/>
  <c r="T14" i="9"/>
  <c r="G34" i="21" s="1"/>
  <c r="F39" i="6"/>
  <c r="R39" i="6" s="1"/>
  <c r="S8" i="12"/>
  <c r="R6" i="9"/>
  <c r="L8" i="12" s="1"/>
  <c r="S11" i="12"/>
  <c r="R9" i="9"/>
  <c r="Y5" i="14" s="1"/>
  <c r="AA5" i="14" s="1"/>
  <c r="R12" i="9"/>
  <c r="S14" i="12"/>
  <c r="R11" i="9"/>
  <c r="S13" i="12"/>
  <c r="R8" i="9"/>
  <c r="S10" i="12"/>
  <c r="M62" i="8"/>
  <c r="N62" i="8" s="1"/>
  <c r="P62" i="8" s="1"/>
  <c r="O15" i="9" s="1"/>
  <c r="M17" i="12"/>
  <c r="S12" i="12"/>
  <c r="R10" i="9"/>
  <c r="S9" i="12"/>
  <c r="R7" i="9"/>
  <c r="R7" i="12"/>
  <c r="T7" i="12" s="1"/>
  <c r="T17" i="9"/>
  <c r="G37" i="21" s="1"/>
  <c r="Q16" i="9"/>
  <c r="F24" i="6"/>
  <c r="R24" i="6" s="1"/>
  <c r="F40" i="6"/>
  <c r="R40" i="6" s="1"/>
  <c r="F28" i="6"/>
  <c r="R28" i="6" s="1"/>
  <c r="F44" i="6"/>
  <c r="R44" i="6" s="1"/>
  <c r="F36" i="6"/>
  <c r="R36" i="6" s="1"/>
  <c r="F52" i="6"/>
  <c r="R52" i="6" s="1"/>
  <c r="F20" i="6"/>
  <c r="R20" i="6" s="1"/>
  <c r="F18" i="6"/>
  <c r="R18" i="6" s="1"/>
  <c r="F34" i="6"/>
  <c r="R34" i="6" s="1"/>
  <c r="F50" i="6"/>
  <c r="R50" i="6" s="1"/>
  <c r="F48" i="6"/>
  <c r="R48" i="6" s="1"/>
  <c r="F32" i="6"/>
  <c r="R32" i="6" s="1"/>
  <c r="F26" i="6"/>
  <c r="R26" i="6" s="1"/>
  <c r="F42" i="6"/>
  <c r="R42" i="6" s="1"/>
  <c r="U60" i="6"/>
  <c r="F60" i="6"/>
  <c r="R60" i="6" s="1"/>
  <c r="F29" i="6"/>
  <c r="R29" i="6" s="1"/>
  <c r="F45" i="6"/>
  <c r="R45" i="6" s="1"/>
  <c r="F19" i="6"/>
  <c r="R19" i="6" s="1"/>
  <c r="F35" i="6"/>
  <c r="R35" i="6" s="1"/>
  <c r="F51" i="6"/>
  <c r="R51" i="6" s="1"/>
  <c r="F17" i="6"/>
  <c r="R17" i="6" s="1"/>
  <c r="F33" i="6"/>
  <c r="R33" i="6" s="1"/>
  <c r="F49" i="6"/>
  <c r="R49" i="6" s="1"/>
  <c r="F22" i="6"/>
  <c r="R22" i="6" s="1"/>
  <c r="F38" i="6"/>
  <c r="R38" i="6" s="1"/>
  <c r="F54" i="6"/>
  <c r="R54" i="6" s="1"/>
  <c r="F23" i="6"/>
  <c r="R23" i="6" s="1"/>
  <c r="F55" i="6"/>
  <c r="R55" i="6" s="1"/>
  <c r="U64" i="6"/>
  <c r="F64" i="6"/>
  <c r="R64" i="6" s="1"/>
  <c r="F65" i="6"/>
  <c r="R65" i="6" s="1"/>
  <c r="F21" i="6"/>
  <c r="R21" i="6" s="1"/>
  <c r="F37" i="6"/>
  <c r="R37" i="6" s="1"/>
  <c r="F53" i="6"/>
  <c r="R53" i="6" s="1"/>
  <c r="U58" i="6"/>
  <c r="F58" i="6"/>
  <c r="R58" i="6" s="1"/>
  <c r="F27" i="6"/>
  <c r="R27" i="6" s="1"/>
  <c r="F43" i="6"/>
  <c r="R43" i="6" s="1"/>
  <c r="U59" i="6"/>
  <c r="F59" i="6"/>
  <c r="F56" i="6"/>
  <c r="R56" i="6" s="1"/>
  <c r="F57" i="6"/>
  <c r="R57" i="6" s="1"/>
  <c r="F25" i="6"/>
  <c r="R25" i="6" s="1"/>
  <c r="F41" i="6"/>
  <c r="R41" i="6" s="1"/>
  <c r="U61" i="6"/>
  <c r="F61" i="6"/>
  <c r="R61" i="6" s="1"/>
  <c r="F30" i="6"/>
  <c r="R30" i="6" s="1"/>
  <c r="F46" i="6"/>
  <c r="R46" i="6" s="1"/>
  <c r="U62" i="6"/>
  <c r="F62" i="6"/>
  <c r="R62" i="6" s="1"/>
  <c r="F63" i="6"/>
  <c r="R63" i="6" s="1"/>
  <c r="F31" i="6"/>
  <c r="R31" i="6" s="1"/>
  <c r="F47" i="6"/>
  <c r="R47" i="6" s="1"/>
  <c r="D64" i="6"/>
  <c r="AG15" i="4"/>
  <c r="D16" i="6"/>
  <c r="AG16" i="4"/>
  <c r="D24" i="6"/>
  <c r="AG24" i="4"/>
  <c r="D32" i="6"/>
  <c r="AG32" i="4"/>
  <c r="D40" i="6"/>
  <c r="AG40" i="4"/>
  <c r="D48" i="6"/>
  <c r="AG48" i="4"/>
  <c r="D56" i="6"/>
  <c r="C9" i="12" s="1"/>
  <c r="D9" i="12" s="1"/>
  <c r="AG56" i="4"/>
  <c r="D17" i="6"/>
  <c r="AG17" i="4"/>
  <c r="D25" i="6"/>
  <c r="AG25" i="4"/>
  <c r="D33" i="6"/>
  <c r="AG33" i="4"/>
  <c r="D41" i="6"/>
  <c r="AG41" i="4"/>
  <c r="D49" i="6"/>
  <c r="AG49" i="4"/>
  <c r="D57" i="6"/>
  <c r="C10" i="12" s="1"/>
  <c r="AG57" i="4"/>
  <c r="D18" i="6"/>
  <c r="AG18" i="4"/>
  <c r="D26" i="6"/>
  <c r="AG26" i="4"/>
  <c r="D34" i="6"/>
  <c r="AG34" i="4"/>
  <c r="D42" i="6"/>
  <c r="AG42" i="4"/>
  <c r="D50" i="6"/>
  <c r="AG50" i="4"/>
  <c r="D58" i="6"/>
  <c r="C11" i="12" s="1"/>
  <c r="D11" i="12" s="1"/>
  <c r="AG58" i="4"/>
  <c r="D23" i="6"/>
  <c r="D21" i="8" s="1"/>
  <c r="E21" i="8" s="1"/>
  <c r="AG23" i="4"/>
  <c r="D31" i="6"/>
  <c r="AG31" i="4"/>
  <c r="D39" i="6"/>
  <c r="AG39" i="4"/>
  <c r="D47" i="6"/>
  <c r="AG47" i="4"/>
  <c r="D55" i="6"/>
  <c r="C8" i="12" s="1"/>
  <c r="D8" i="12" s="1"/>
  <c r="AG55" i="4"/>
  <c r="D20" i="6"/>
  <c r="AG20" i="4"/>
  <c r="D28" i="6"/>
  <c r="AG28" i="4"/>
  <c r="D36" i="6"/>
  <c r="AG36" i="4"/>
  <c r="D44" i="6"/>
  <c r="AG44" i="4"/>
  <c r="D52" i="6"/>
  <c r="AG52" i="4"/>
  <c r="D60" i="6"/>
  <c r="C13" i="12" s="1"/>
  <c r="AG60" i="4"/>
  <c r="D21" i="6"/>
  <c r="AG21" i="4"/>
  <c r="D29" i="6"/>
  <c r="AG29" i="4"/>
  <c r="D37" i="6"/>
  <c r="AG37" i="4"/>
  <c r="D45" i="6"/>
  <c r="AG45" i="4"/>
  <c r="D53" i="6"/>
  <c r="AG53" i="4"/>
  <c r="D61" i="6"/>
  <c r="C14" i="12" s="1"/>
  <c r="AG61" i="4"/>
  <c r="D22" i="6"/>
  <c r="AG22" i="4"/>
  <c r="D30" i="6"/>
  <c r="AG30" i="4"/>
  <c r="D38" i="6"/>
  <c r="AG38" i="4"/>
  <c r="D46" i="6"/>
  <c r="AG46" i="4"/>
  <c r="D54" i="6"/>
  <c r="C7" i="12" s="1"/>
  <c r="D7" i="12" s="1"/>
  <c r="AG54" i="4"/>
  <c r="D62" i="6"/>
  <c r="C15" i="12" s="1"/>
  <c r="AG62" i="4"/>
  <c r="D19" i="6"/>
  <c r="AG19" i="4"/>
  <c r="D27" i="6"/>
  <c r="AG27" i="4"/>
  <c r="D35" i="6"/>
  <c r="AG35" i="4"/>
  <c r="D43" i="6"/>
  <c r="AG43" i="4"/>
  <c r="D51" i="6"/>
  <c r="AG51" i="4"/>
  <c r="D59" i="6"/>
  <c r="C12" i="12" s="1"/>
  <c r="AG59" i="4"/>
  <c r="C10" i="1"/>
  <c r="S10" i="1" s="1"/>
  <c r="C11" i="1"/>
  <c r="S11" i="1" s="1"/>
  <c r="C12" i="1"/>
  <c r="S12" i="1" s="1"/>
  <c r="C13" i="1"/>
  <c r="S13" i="1" s="1"/>
  <c r="C14" i="1"/>
  <c r="S14" i="1" s="1"/>
  <c r="C15" i="1"/>
  <c r="S15" i="1" s="1"/>
  <c r="S16" i="1"/>
  <c r="C17" i="1"/>
  <c r="S17" i="1" s="1"/>
  <c r="C18" i="1"/>
  <c r="S18" i="1" s="1"/>
  <c r="C19" i="1"/>
  <c r="S19" i="1" s="1"/>
  <c r="C20" i="1"/>
  <c r="S20" i="1" s="1"/>
  <c r="C21" i="1"/>
  <c r="S21" i="1" s="1"/>
  <c r="C22" i="1"/>
  <c r="S22" i="1" s="1"/>
  <c r="C23" i="1"/>
  <c r="S23" i="1" s="1"/>
  <c r="C24" i="1"/>
  <c r="S24" i="1" s="1"/>
  <c r="C25" i="1"/>
  <c r="S25" i="1" s="1"/>
  <c r="C26" i="1"/>
  <c r="S26" i="1" s="1"/>
  <c r="C27" i="1"/>
  <c r="S27" i="1" s="1"/>
  <c r="C28" i="1"/>
  <c r="S28" i="1" s="1"/>
  <c r="C29" i="1"/>
  <c r="S29" i="1" s="1"/>
  <c r="C30" i="1"/>
  <c r="S30" i="1" s="1"/>
  <c r="C31" i="1"/>
  <c r="S31" i="1" s="1"/>
  <c r="C32" i="1"/>
  <c r="S32" i="1" s="1"/>
  <c r="C33" i="1"/>
  <c r="S33" i="1" s="1"/>
  <c r="C34" i="1"/>
  <c r="S34" i="1" s="1"/>
  <c r="C35" i="1"/>
  <c r="S35" i="1" s="1"/>
  <c r="C36" i="1"/>
  <c r="S36" i="1" s="1"/>
  <c r="C37" i="1"/>
  <c r="S37" i="1" s="1"/>
  <c r="C38" i="1"/>
  <c r="S38" i="1" s="1"/>
  <c r="C39" i="1"/>
  <c r="S39" i="1" s="1"/>
  <c r="C40" i="1"/>
  <c r="S40" i="1" s="1"/>
  <c r="C41" i="1"/>
  <c r="S41" i="1" s="1"/>
  <c r="C42" i="1"/>
  <c r="S42" i="1" s="1"/>
  <c r="C43" i="1"/>
  <c r="S43" i="1" s="1"/>
  <c r="C44" i="1"/>
  <c r="S44" i="1" s="1"/>
  <c r="C45" i="1"/>
  <c r="S45" i="1" s="1"/>
  <c r="C46" i="1"/>
  <c r="S46" i="1" s="1"/>
  <c r="C47" i="1"/>
  <c r="S47" i="1" s="1"/>
  <c r="C48" i="1"/>
  <c r="S48" i="1" s="1"/>
  <c r="C49" i="1"/>
  <c r="S49" i="1" s="1"/>
  <c r="C50" i="1"/>
  <c r="S50" i="1" s="1"/>
  <c r="C51" i="1"/>
  <c r="S51" i="1" s="1"/>
  <c r="C52" i="1"/>
  <c r="S52" i="1" s="1"/>
  <c r="C53" i="1"/>
  <c r="S53" i="1" s="1"/>
  <c r="C54" i="1"/>
  <c r="S54" i="1" s="1"/>
  <c r="C55" i="1"/>
  <c r="S55" i="1" s="1"/>
  <c r="C56" i="1"/>
  <c r="S56" i="1" s="1"/>
  <c r="C57" i="1"/>
  <c r="S57" i="1" s="1"/>
  <c r="C58" i="1"/>
  <c r="S58" i="1" s="1"/>
  <c r="C59" i="1"/>
  <c r="S59" i="1" s="1"/>
  <c r="C60" i="1"/>
  <c r="S60" i="1" s="1"/>
  <c r="C61" i="1"/>
  <c r="S61" i="1" s="1"/>
  <c r="C62" i="1"/>
  <c r="S62" i="1" s="1"/>
  <c r="C63" i="1"/>
  <c r="S63" i="1" s="1"/>
  <c r="C9" i="1"/>
  <c r="D62" i="4"/>
  <c r="D61" i="4"/>
  <c r="D60" i="4"/>
  <c r="D59" i="4"/>
  <c r="D58" i="4"/>
  <c r="D57" i="4"/>
  <c r="D56" i="4"/>
  <c r="D55" i="4"/>
  <c r="D54" i="4"/>
  <c r="D53" i="4"/>
  <c r="D52" i="4"/>
  <c r="D51" i="4"/>
  <c r="D50" i="4"/>
  <c r="D49" i="4"/>
  <c r="D48" i="4"/>
  <c r="D47" i="4"/>
  <c r="D46" i="4"/>
  <c r="D45" i="4"/>
  <c r="D44" i="4"/>
  <c r="D43" i="4"/>
  <c r="D42" i="4"/>
  <c r="D41" i="4"/>
  <c r="D40" i="4"/>
  <c r="D39" i="4"/>
  <c r="D38" i="4"/>
  <c r="D37" i="4"/>
  <c r="D36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6" i="1" s="1"/>
  <c r="E16" i="1" s="1"/>
  <c r="D14" i="4"/>
  <c r="D13" i="4"/>
  <c r="D12" i="12" l="1"/>
  <c r="K19" i="21"/>
  <c r="D15" i="12"/>
  <c r="K22" i="21"/>
  <c r="D14" i="12"/>
  <c r="K21" i="21"/>
  <c r="D13" i="12"/>
  <c r="K20" i="21"/>
  <c r="N17" i="12"/>
  <c r="K11" i="21"/>
  <c r="H10" i="12"/>
  <c r="D10" i="12"/>
  <c r="F12" i="21"/>
  <c r="S16" i="9"/>
  <c r="C9" i="22" s="1"/>
  <c r="L9" i="22" s="1"/>
  <c r="R13" i="9"/>
  <c r="L15" i="12" s="1"/>
  <c r="R15" i="12" s="1"/>
  <c r="L9" i="21" s="1"/>
  <c r="F9" i="21"/>
  <c r="Y8" i="14"/>
  <c r="AA8" i="14" s="1"/>
  <c r="E68" i="21"/>
  <c r="B5" i="22"/>
  <c r="F5" i="22" s="1"/>
  <c r="E32" i="21"/>
  <c r="K32" i="21"/>
  <c r="J8" i="21"/>
  <c r="G8" i="21"/>
  <c r="T16" i="9"/>
  <c r="G36" i="21" s="1"/>
  <c r="C35" i="21"/>
  <c r="D11" i="21"/>
  <c r="Y7" i="14"/>
  <c r="AA7" i="14" s="1"/>
  <c r="E67" i="21"/>
  <c r="E31" i="21"/>
  <c r="J7" i="21"/>
  <c r="G7" i="21"/>
  <c r="Y6" i="14"/>
  <c r="AA6" i="14" s="1"/>
  <c r="E66" i="21"/>
  <c r="G6" i="21"/>
  <c r="J6" i="21"/>
  <c r="B7" i="22"/>
  <c r="F7" i="22" s="1"/>
  <c r="C81" i="21" s="1"/>
  <c r="E70" i="21"/>
  <c r="E34" i="21"/>
  <c r="K34" i="21"/>
  <c r="J10" i="21"/>
  <c r="G10" i="21"/>
  <c r="L16" i="12"/>
  <c r="R16" i="12" s="1"/>
  <c r="L10" i="21" s="1"/>
  <c r="R12" i="14"/>
  <c r="AE11" i="14"/>
  <c r="R59" i="6"/>
  <c r="B11" i="14"/>
  <c r="W10" i="14"/>
  <c r="AB10" i="14"/>
  <c r="S10" i="18" s="1"/>
  <c r="AD10" i="18" s="1"/>
  <c r="AA10" i="14"/>
  <c r="R5" i="18"/>
  <c r="S15" i="12"/>
  <c r="V62" i="6"/>
  <c r="AA60" i="8" s="1"/>
  <c r="AB60" i="8" s="1"/>
  <c r="AD60" i="8" s="1"/>
  <c r="X62" i="6"/>
  <c r="X63" i="6"/>
  <c r="V61" i="6"/>
  <c r="AA59" i="8" s="1"/>
  <c r="AB59" i="8" s="1"/>
  <c r="AD59" i="8" s="1"/>
  <c r="X61" i="6"/>
  <c r="V64" i="6"/>
  <c r="X64" i="6"/>
  <c r="X65" i="6"/>
  <c r="V60" i="6"/>
  <c r="AA58" i="8" s="1"/>
  <c r="AB58" i="8" s="1"/>
  <c r="AD58" i="8" s="1"/>
  <c r="X60" i="6"/>
  <c r="L14" i="12"/>
  <c r="R14" i="12" s="1"/>
  <c r="L8" i="21" s="1"/>
  <c r="T15" i="9"/>
  <c r="G35" i="21" s="1"/>
  <c r="Q15" i="9"/>
  <c r="L11" i="12"/>
  <c r="R11" i="12" s="1"/>
  <c r="T11" i="12" s="1"/>
  <c r="Y9" i="9"/>
  <c r="V59" i="6"/>
  <c r="AA57" i="8" s="1"/>
  <c r="AB57" i="8" s="1"/>
  <c r="AD57" i="8" s="1"/>
  <c r="X59" i="6"/>
  <c r="V58" i="6"/>
  <c r="AA56" i="8" s="1"/>
  <c r="AB56" i="8" s="1"/>
  <c r="AD56" i="8" s="1"/>
  <c r="X58" i="6"/>
  <c r="U30" i="9"/>
  <c r="V30" i="9" s="1"/>
  <c r="W30" i="9" s="1"/>
  <c r="U6" i="9"/>
  <c r="V6" i="9" s="1"/>
  <c r="W6" i="9" s="1"/>
  <c r="L12" i="12"/>
  <c r="R12" i="12" s="1"/>
  <c r="L13" i="12"/>
  <c r="S18" i="12"/>
  <c r="R16" i="9"/>
  <c r="L9" i="12"/>
  <c r="R9" i="12" s="1"/>
  <c r="T9" i="12" s="1"/>
  <c r="Y7" i="9"/>
  <c r="L10" i="12"/>
  <c r="T10" i="12" s="1"/>
  <c r="Y8" i="9"/>
  <c r="R8" i="12"/>
  <c r="T8" i="12" s="1"/>
  <c r="Y12" i="9"/>
  <c r="G21" i="8"/>
  <c r="T21" i="8"/>
  <c r="D15" i="6"/>
  <c r="P15" i="6" s="1"/>
  <c r="P64" i="6"/>
  <c r="S9" i="1"/>
  <c r="O15" i="6"/>
  <c r="Z9" i="4"/>
  <c r="D18" i="1"/>
  <c r="T18" i="1" s="1"/>
  <c r="Z17" i="4"/>
  <c r="D26" i="1"/>
  <c r="T26" i="1" s="1"/>
  <c r="Z25" i="4"/>
  <c r="D30" i="1"/>
  <c r="T30" i="1" s="1"/>
  <c r="Z29" i="4"/>
  <c r="D38" i="1"/>
  <c r="T38" i="1" s="1"/>
  <c r="Z37" i="4"/>
  <c r="D46" i="1"/>
  <c r="T46" i="1" s="1"/>
  <c r="Z45" i="4"/>
  <c r="D54" i="1"/>
  <c r="T54" i="1" s="1"/>
  <c r="Z53" i="4"/>
  <c r="D62" i="1"/>
  <c r="T62" i="1" s="1"/>
  <c r="Z61" i="4"/>
  <c r="Z14" i="4"/>
  <c r="D23" i="1"/>
  <c r="T23" i="1" s="1"/>
  <c r="Z22" i="4"/>
  <c r="D31" i="1"/>
  <c r="T31" i="1" s="1"/>
  <c r="Z30" i="4"/>
  <c r="D35" i="1"/>
  <c r="T35" i="1" s="1"/>
  <c r="Z34" i="4"/>
  <c r="D39" i="1"/>
  <c r="T39" i="1" s="1"/>
  <c r="Z38" i="4"/>
  <c r="D43" i="1"/>
  <c r="T43" i="1" s="1"/>
  <c r="Z42" i="4"/>
  <c r="D47" i="1"/>
  <c r="T47" i="1" s="1"/>
  <c r="Z46" i="4"/>
  <c r="D51" i="1"/>
  <c r="T51" i="1" s="1"/>
  <c r="Z50" i="4"/>
  <c r="D59" i="1"/>
  <c r="T59" i="1" s="1"/>
  <c r="Z58" i="4"/>
  <c r="D63" i="1"/>
  <c r="T63" i="1" s="1"/>
  <c r="Z62" i="4"/>
  <c r="Z11" i="4"/>
  <c r="T16" i="1"/>
  <c r="Z15" i="4"/>
  <c r="D20" i="1"/>
  <c r="T20" i="1" s="1"/>
  <c r="Z19" i="4"/>
  <c r="D24" i="1"/>
  <c r="T24" i="1" s="1"/>
  <c r="Z23" i="4"/>
  <c r="D28" i="1"/>
  <c r="T28" i="1" s="1"/>
  <c r="Z27" i="4"/>
  <c r="D32" i="1"/>
  <c r="T32" i="1" s="1"/>
  <c r="Z31" i="4"/>
  <c r="D36" i="1"/>
  <c r="T36" i="1" s="1"/>
  <c r="Z35" i="4"/>
  <c r="D40" i="1"/>
  <c r="T40" i="1" s="1"/>
  <c r="Z39" i="4"/>
  <c r="D44" i="1"/>
  <c r="T44" i="1" s="1"/>
  <c r="Z43" i="4"/>
  <c r="D48" i="1"/>
  <c r="T48" i="1" s="1"/>
  <c r="Z47" i="4"/>
  <c r="D52" i="1"/>
  <c r="T52" i="1" s="1"/>
  <c r="Z51" i="4"/>
  <c r="D56" i="1"/>
  <c r="T56" i="1" s="1"/>
  <c r="Z55" i="4"/>
  <c r="D60" i="1"/>
  <c r="T60" i="1" s="1"/>
  <c r="Z59" i="4"/>
  <c r="Z8" i="4"/>
  <c r="Z12" i="4"/>
  <c r="D17" i="1"/>
  <c r="T17" i="1" s="1"/>
  <c r="Z16" i="4"/>
  <c r="D21" i="1"/>
  <c r="T21" i="1" s="1"/>
  <c r="Z20" i="4"/>
  <c r="D25" i="1"/>
  <c r="T25" i="1" s="1"/>
  <c r="Z24" i="4"/>
  <c r="D29" i="1"/>
  <c r="T29" i="1" s="1"/>
  <c r="Z28" i="4"/>
  <c r="D33" i="1"/>
  <c r="T33" i="1" s="1"/>
  <c r="Z32" i="4"/>
  <c r="D37" i="1"/>
  <c r="T37" i="1" s="1"/>
  <c r="Z36" i="4"/>
  <c r="D41" i="1"/>
  <c r="T41" i="1" s="1"/>
  <c r="Z40" i="4"/>
  <c r="D45" i="1"/>
  <c r="T45" i="1" s="1"/>
  <c r="Z44" i="4"/>
  <c r="D49" i="1"/>
  <c r="T49" i="1" s="1"/>
  <c r="Z48" i="4"/>
  <c r="D53" i="1"/>
  <c r="T53" i="1" s="1"/>
  <c r="Z52" i="4"/>
  <c r="D57" i="1"/>
  <c r="T57" i="1" s="1"/>
  <c r="Z56" i="4"/>
  <c r="D61" i="1"/>
  <c r="T61" i="1" s="1"/>
  <c r="Z60" i="4"/>
  <c r="Z13" i="4"/>
  <c r="D22" i="1"/>
  <c r="T22" i="1" s="1"/>
  <c r="Z21" i="4"/>
  <c r="D34" i="1"/>
  <c r="T34" i="1" s="1"/>
  <c r="Z33" i="4"/>
  <c r="D42" i="1"/>
  <c r="T42" i="1" s="1"/>
  <c r="Z41" i="4"/>
  <c r="D50" i="1"/>
  <c r="T50" i="1" s="1"/>
  <c r="Z49" i="4"/>
  <c r="D58" i="1"/>
  <c r="T58" i="1" s="1"/>
  <c r="Z57" i="4"/>
  <c r="Z10" i="4"/>
  <c r="D19" i="1"/>
  <c r="T19" i="1" s="1"/>
  <c r="Z18" i="4"/>
  <c r="D27" i="1"/>
  <c r="T27" i="1" s="1"/>
  <c r="Z26" i="4"/>
  <c r="D55" i="1"/>
  <c r="T55" i="1" s="1"/>
  <c r="Z54" i="4"/>
  <c r="O51" i="6"/>
  <c r="O35" i="6"/>
  <c r="P19" i="6"/>
  <c r="O19" i="6"/>
  <c r="O54" i="6"/>
  <c r="O38" i="6"/>
  <c r="P22" i="6"/>
  <c r="O22" i="6"/>
  <c r="O53" i="6"/>
  <c r="O37" i="6"/>
  <c r="P21" i="6"/>
  <c r="O21" i="6"/>
  <c r="O52" i="6"/>
  <c r="O36" i="6"/>
  <c r="P20" i="6"/>
  <c r="O20" i="6"/>
  <c r="O47" i="6"/>
  <c r="O31" i="6"/>
  <c r="O50" i="6"/>
  <c r="O34" i="6"/>
  <c r="P18" i="6"/>
  <c r="O18" i="6"/>
  <c r="O49" i="6"/>
  <c r="O33" i="6"/>
  <c r="P17" i="6"/>
  <c r="O17" i="6"/>
  <c r="O48" i="6"/>
  <c r="O32" i="6"/>
  <c r="P16" i="6"/>
  <c r="O16" i="6"/>
  <c r="O59" i="6"/>
  <c r="O43" i="6"/>
  <c r="O27" i="6"/>
  <c r="O62" i="6"/>
  <c r="O46" i="6"/>
  <c r="O30" i="6"/>
  <c r="O61" i="6"/>
  <c r="O45" i="6"/>
  <c r="O29" i="6"/>
  <c r="O60" i="6"/>
  <c r="O44" i="6"/>
  <c r="O28" i="6"/>
  <c r="O55" i="6"/>
  <c r="O39" i="6"/>
  <c r="O23" i="6"/>
  <c r="O58" i="6"/>
  <c r="O42" i="6"/>
  <c r="O26" i="6"/>
  <c r="O57" i="6"/>
  <c r="O41" i="6"/>
  <c r="O25" i="6"/>
  <c r="O56" i="6"/>
  <c r="O40" i="6"/>
  <c r="O24" i="6"/>
  <c r="D63" i="6"/>
  <c r="AG63" i="4"/>
  <c r="AG64" i="4"/>
  <c r="F11" i="21" l="1"/>
  <c r="S15" i="9"/>
  <c r="C8" i="22" s="1"/>
  <c r="L8" i="22" s="1"/>
  <c r="AB6" i="14"/>
  <c r="S6" i="18" s="1"/>
  <c r="AD6" i="18" s="1"/>
  <c r="T16" i="12"/>
  <c r="U15" i="9" s="1"/>
  <c r="V15" i="9" s="1"/>
  <c r="C79" i="21"/>
  <c r="AB8" i="14"/>
  <c r="S8" i="18" s="1"/>
  <c r="AD8" i="18" s="1"/>
  <c r="W8" i="14"/>
  <c r="T14" i="12"/>
  <c r="M8" i="21" s="1"/>
  <c r="Y12" i="14"/>
  <c r="W12" i="14" s="1"/>
  <c r="W17" i="14" s="1"/>
  <c r="B9" i="22"/>
  <c r="F9" i="22" s="1"/>
  <c r="C83" i="21" s="1"/>
  <c r="E72" i="21"/>
  <c r="K36" i="21"/>
  <c r="E36" i="21"/>
  <c r="G12" i="21"/>
  <c r="J12" i="21"/>
  <c r="T12" i="12"/>
  <c r="M6" i="21" s="1"/>
  <c r="L6" i="21"/>
  <c r="Y9" i="14"/>
  <c r="AA9" i="14" s="1"/>
  <c r="R9" i="18" s="1"/>
  <c r="W9" i="18" s="1"/>
  <c r="Z9" i="18" s="1"/>
  <c r="I7" i="22" s="1"/>
  <c r="B6" i="22"/>
  <c r="E69" i="21"/>
  <c r="E33" i="21"/>
  <c r="G9" i="21"/>
  <c r="J9" i="21"/>
  <c r="AE12" i="14"/>
  <c r="AF12" i="14"/>
  <c r="P11" i="14"/>
  <c r="O11" i="14"/>
  <c r="K11" i="14"/>
  <c r="B11" i="18" s="1"/>
  <c r="B12" i="14"/>
  <c r="R7" i="18"/>
  <c r="W7" i="18" s="1"/>
  <c r="R8" i="18"/>
  <c r="R10" i="18"/>
  <c r="AC10" i="14"/>
  <c r="R6" i="18"/>
  <c r="W6" i="18" s="1"/>
  <c r="T15" i="12"/>
  <c r="U31" i="9"/>
  <c r="V31" i="9" s="1"/>
  <c r="U7" i="9"/>
  <c r="V7" i="9" s="1"/>
  <c r="U8" i="9"/>
  <c r="V8" i="9" s="1"/>
  <c r="U32" i="9"/>
  <c r="V32" i="9" s="1"/>
  <c r="U10" i="9"/>
  <c r="U34" i="9"/>
  <c r="V34" i="9" s="1"/>
  <c r="W34" i="9" s="1"/>
  <c r="Z34" i="9" s="1"/>
  <c r="U9" i="9"/>
  <c r="U33" i="9"/>
  <c r="L18" i="12"/>
  <c r="R18" i="12" s="1"/>
  <c r="L12" i="21" s="1"/>
  <c r="Y16" i="9"/>
  <c r="S17" i="12"/>
  <c r="R15" i="9"/>
  <c r="R13" i="12"/>
  <c r="L7" i="21" s="1"/>
  <c r="P63" i="6"/>
  <c r="E60" i="1"/>
  <c r="F60" i="1" s="1"/>
  <c r="V60" i="1" s="1"/>
  <c r="E33" i="1"/>
  <c r="U33" i="1" s="1"/>
  <c r="E63" i="1"/>
  <c r="E51" i="1"/>
  <c r="U51" i="1" s="1"/>
  <c r="E34" i="1"/>
  <c r="U34" i="1" s="1"/>
  <c r="E37" i="1"/>
  <c r="U37" i="1" s="1"/>
  <c r="E22" i="1"/>
  <c r="U22" i="1" s="1"/>
  <c r="E24" i="1"/>
  <c r="U24" i="1" s="1"/>
  <c r="E41" i="1"/>
  <c r="U41" i="1" s="1"/>
  <c r="E49" i="1"/>
  <c r="F49" i="1" s="1"/>
  <c r="V49" i="1" s="1"/>
  <c r="E40" i="1"/>
  <c r="F40" i="1" s="1"/>
  <c r="V40" i="1" s="1"/>
  <c r="E32" i="1"/>
  <c r="F32" i="1" s="1"/>
  <c r="V32" i="1" s="1"/>
  <c r="E23" i="1"/>
  <c r="F23" i="1" s="1"/>
  <c r="V23" i="1" s="1"/>
  <c r="E62" i="1"/>
  <c r="E30" i="1"/>
  <c r="F30" i="1" s="1"/>
  <c r="V30" i="1" s="1"/>
  <c r="E57" i="1"/>
  <c r="F57" i="1" s="1"/>
  <c r="V57" i="1" s="1"/>
  <c r="E48" i="1"/>
  <c r="F48" i="1" s="1"/>
  <c r="V48" i="1" s="1"/>
  <c r="E27" i="1"/>
  <c r="F27" i="1" s="1"/>
  <c r="V27" i="1" s="1"/>
  <c r="E17" i="1"/>
  <c r="U17" i="1" s="1"/>
  <c r="E50" i="1"/>
  <c r="F50" i="1" s="1"/>
  <c r="V50" i="1" s="1"/>
  <c r="E56" i="1"/>
  <c r="U56" i="1" s="1"/>
  <c r="E43" i="1"/>
  <c r="F43" i="1" s="1"/>
  <c r="V43" i="1" s="1"/>
  <c r="E35" i="1"/>
  <c r="U35" i="1" s="1"/>
  <c r="E25" i="1"/>
  <c r="U25" i="1" s="1"/>
  <c r="F16" i="1"/>
  <c r="V16" i="1" s="1"/>
  <c r="E46" i="1"/>
  <c r="F46" i="1" s="1"/>
  <c r="V46" i="1" s="1"/>
  <c r="E18" i="1"/>
  <c r="F18" i="1" s="1"/>
  <c r="V18" i="1" s="1"/>
  <c r="E55" i="1"/>
  <c r="U55" i="1" s="1"/>
  <c r="E59" i="1"/>
  <c r="U59" i="1" s="1"/>
  <c r="E31" i="1"/>
  <c r="F31" i="1" s="1"/>
  <c r="V31" i="1" s="1"/>
  <c r="E53" i="1"/>
  <c r="F53" i="1" s="1"/>
  <c r="V53" i="1" s="1"/>
  <c r="E36" i="1"/>
  <c r="U36" i="1" s="1"/>
  <c r="E20" i="1"/>
  <c r="F20" i="1" s="1"/>
  <c r="V20" i="1" s="1"/>
  <c r="E52" i="1"/>
  <c r="U52" i="1" s="1"/>
  <c r="E28" i="1"/>
  <c r="F28" i="1" s="1"/>
  <c r="V28" i="1" s="1"/>
  <c r="E38" i="1"/>
  <c r="F38" i="1" s="1"/>
  <c r="V38" i="1" s="1"/>
  <c r="E47" i="1"/>
  <c r="U47" i="1" s="1"/>
  <c r="E44" i="1"/>
  <c r="F44" i="1" s="1"/>
  <c r="V44" i="1" s="1"/>
  <c r="E39" i="1"/>
  <c r="F39" i="1" s="1"/>
  <c r="V39" i="1" s="1"/>
  <c r="E21" i="1"/>
  <c r="F21" i="1" s="1"/>
  <c r="V21" i="1" s="1"/>
  <c r="E54" i="1"/>
  <c r="U54" i="1" s="1"/>
  <c r="E61" i="1"/>
  <c r="U61" i="1" s="1"/>
  <c r="E45" i="1"/>
  <c r="U45" i="1" s="1"/>
  <c r="E29" i="1"/>
  <c r="U29" i="1" s="1"/>
  <c r="E19" i="1"/>
  <c r="U19" i="1" s="1"/>
  <c r="E58" i="1"/>
  <c r="U58" i="1" s="1"/>
  <c r="E42" i="1"/>
  <c r="F42" i="1" s="1"/>
  <c r="V42" i="1" s="1"/>
  <c r="E26" i="1"/>
  <c r="U26" i="1" s="1"/>
  <c r="F56" i="1"/>
  <c r="V56" i="1" s="1"/>
  <c r="O63" i="6"/>
  <c r="D22" i="8"/>
  <c r="E22" i="8" s="1"/>
  <c r="G22" i="8" s="1"/>
  <c r="P24" i="6"/>
  <c r="D39" i="8"/>
  <c r="E39" i="8" s="1"/>
  <c r="G39" i="8" s="1"/>
  <c r="P41" i="6"/>
  <c r="D56" i="8"/>
  <c r="E56" i="8" s="1"/>
  <c r="G56" i="8" s="1"/>
  <c r="P58" i="6"/>
  <c r="D26" i="8"/>
  <c r="E26" i="8" s="1"/>
  <c r="G26" i="8" s="1"/>
  <c r="P28" i="6"/>
  <c r="D43" i="8"/>
  <c r="E43" i="8" s="1"/>
  <c r="G43" i="8" s="1"/>
  <c r="P45" i="6"/>
  <c r="D60" i="8"/>
  <c r="E60" i="8" s="1"/>
  <c r="G60" i="8" s="1"/>
  <c r="P62" i="6"/>
  <c r="D41" i="8"/>
  <c r="E41" i="8" s="1"/>
  <c r="G41" i="8" s="1"/>
  <c r="P43" i="6"/>
  <c r="D31" i="8"/>
  <c r="E31" i="8" s="1"/>
  <c r="G31" i="8" s="1"/>
  <c r="P33" i="6"/>
  <c r="D48" i="8"/>
  <c r="E48" i="8" s="1"/>
  <c r="G48" i="8" s="1"/>
  <c r="P50" i="6"/>
  <c r="D45" i="8"/>
  <c r="E45" i="8" s="1"/>
  <c r="G45" i="8" s="1"/>
  <c r="P47" i="6"/>
  <c r="D34" i="8"/>
  <c r="E34" i="8" s="1"/>
  <c r="G34" i="8" s="1"/>
  <c r="P36" i="6"/>
  <c r="D51" i="8"/>
  <c r="E51" i="8" s="1"/>
  <c r="G51" i="8" s="1"/>
  <c r="P53" i="6"/>
  <c r="D36" i="8"/>
  <c r="E36" i="8" s="1"/>
  <c r="G36" i="8" s="1"/>
  <c r="P38" i="6"/>
  <c r="D49" i="8"/>
  <c r="E49" i="8" s="1"/>
  <c r="G49" i="8" s="1"/>
  <c r="P51" i="6"/>
  <c r="O64" i="6"/>
  <c r="D54" i="8"/>
  <c r="E54" i="8" s="1"/>
  <c r="G54" i="8" s="1"/>
  <c r="P56" i="6"/>
  <c r="D24" i="8"/>
  <c r="E24" i="8" s="1"/>
  <c r="G24" i="8" s="1"/>
  <c r="P26" i="6"/>
  <c r="D37" i="8"/>
  <c r="E37" i="8" s="1"/>
  <c r="G37" i="8" s="1"/>
  <c r="P39" i="6"/>
  <c r="D58" i="8"/>
  <c r="E58" i="8" s="1"/>
  <c r="G58" i="8" s="1"/>
  <c r="P60" i="6"/>
  <c r="D28" i="8"/>
  <c r="E28" i="8" s="1"/>
  <c r="G28" i="8" s="1"/>
  <c r="P30" i="6"/>
  <c r="D46" i="8"/>
  <c r="E46" i="8" s="1"/>
  <c r="G46" i="8" s="1"/>
  <c r="P48" i="6"/>
  <c r="D38" i="8"/>
  <c r="E38" i="8" s="1"/>
  <c r="G38" i="8" s="1"/>
  <c r="P40" i="6"/>
  <c r="D23" i="8"/>
  <c r="E23" i="8" s="1"/>
  <c r="G23" i="8" s="1"/>
  <c r="P25" i="6"/>
  <c r="D55" i="8"/>
  <c r="E55" i="8" s="1"/>
  <c r="G55" i="8" s="1"/>
  <c r="P57" i="6"/>
  <c r="D40" i="8"/>
  <c r="E40" i="8" s="1"/>
  <c r="G40" i="8" s="1"/>
  <c r="P42" i="6"/>
  <c r="P23" i="6"/>
  <c r="D53" i="8"/>
  <c r="E53" i="8" s="1"/>
  <c r="G53" i="8" s="1"/>
  <c r="P55" i="6"/>
  <c r="D42" i="8"/>
  <c r="E42" i="8" s="1"/>
  <c r="G42" i="8" s="1"/>
  <c r="P44" i="6"/>
  <c r="D27" i="8"/>
  <c r="E27" i="8" s="1"/>
  <c r="G27" i="8" s="1"/>
  <c r="P29" i="6"/>
  <c r="D59" i="8"/>
  <c r="E59" i="8" s="1"/>
  <c r="P61" i="6"/>
  <c r="D44" i="8"/>
  <c r="E44" i="8" s="1"/>
  <c r="G44" i="8" s="1"/>
  <c r="P46" i="6"/>
  <c r="D25" i="8"/>
  <c r="E25" i="8" s="1"/>
  <c r="G25" i="8" s="1"/>
  <c r="P27" i="6"/>
  <c r="D57" i="8"/>
  <c r="E57" i="8" s="1"/>
  <c r="G57" i="8" s="1"/>
  <c r="P59" i="6"/>
  <c r="D30" i="8"/>
  <c r="E30" i="8" s="1"/>
  <c r="G30" i="8" s="1"/>
  <c r="P32" i="6"/>
  <c r="D47" i="8"/>
  <c r="E47" i="8" s="1"/>
  <c r="G47" i="8" s="1"/>
  <c r="P49" i="6"/>
  <c r="D32" i="8"/>
  <c r="E32" i="8" s="1"/>
  <c r="G32" i="8" s="1"/>
  <c r="P34" i="6"/>
  <c r="D29" i="8"/>
  <c r="E29" i="8" s="1"/>
  <c r="G29" i="8" s="1"/>
  <c r="P31" i="6"/>
  <c r="D50" i="8"/>
  <c r="E50" i="8" s="1"/>
  <c r="G50" i="8" s="1"/>
  <c r="P52" i="6"/>
  <c r="D35" i="8"/>
  <c r="E35" i="8" s="1"/>
  <c r="G35" i="8" s="1"/>
  <c r="P37" i="6"/>
  <c r="D52" i="8"/>
  <c r="E52" i="8" s="1"/>
  <c r="G52" i="8" s="1"/>
  <c r="P54" i="6"/>
  <c r="D33" i="8"/>
  <c r="E33" i="8" s="1"/>
  <c r="G33" i="8" s="1"/>
  <c r="P35" i="6"/>
  <c r="P65" i="6"/>
  <c r="AC6" i="14" l="1"/>
  <c r="U39" i="9"/>
  <c r="V39" i="9" s="1"/>
  <c r="W39" i="9" s="1"/>
  <c r="Z39" i="9" s="1"/>
  <c r="M10" i="21"/>
  <c r="AC8" i="14"/>
  <c r="Y17" i="14"/>
  <c r="G69" i="21"/>
  <c r="U35" i="9"/>
  <c r="V35" i="9" s="1"/>
  <c r="X35" i="9" s="1"/>
  <c r="Y35" i="9" s="1"/>
  <c r="AB12" i="14"/>
  <c r="S12" i="18" s="1"/>
  <c r="AD12" i="18" s="1"/>
  <c r="AA12" i="14"/>
  <c r="R12" i="18" s="1"/>
  <c r="U11" i="9"/>
  <c r="F31" i="21" s="1"/>
  <c r="W15" i="9"/>
  <c r="I35" i="21" s="1"/>
  <c r="E8" i="22"/>
  <c r="H35" i="21"/>
  <c r="U13" i="9"/>
  <c r="F33" i="21" s="1"/>
  <c r="T13" i="12"/>
  <c r="M7" i="21" s="1"/>
  <c r="T18" i="12"/>
  <c r="U37" i="9"/>
  <c r="V37" i="9" s="1"/>
  <c r="W37" i="9" s="1"/>
  <c r="Z37" i="9" s="1"/>
  <c r="Y11" i="14"/>
  <c r="Y16" i="14" s="1"/>
  <c r="B8" i="22"/>
  <c r="F8" i="22" s="1"/>
  <c r="C82" i="21" s="1"/>
  <c r="E71" i="21"/>
  <c r="K35" i="21"/>
  <c r="E35" i="21"/>
  <c r="J11" i="21"/>
  <c r="G11" i="21"/>
  <c r="U38" i="9"/>
  <c r="V38" i="9" s="1"/>
  <c r="W38" i="9" s="1"/>
  <c r="Z38" i="9" s="1"/>
  <c r="M9" i="21"/>
  <c r="V10" i="14"/>
  <c r="X10" i="14" s="1"/>
  <c r="F35" i="21"/>
  <c r="H69" i="21"/>
  <c r="AA9" i="18"/>
  <c r="Z6" i="18"/>
  <c r="G66" i="21"/>
  <c r="Z7" i="18"/>
  <c r="I5" i="22" s="1"/>
  <c r="G67" i="21"/>
  <c r="W8" i="18"/>
  <c r="W10" i="18"/>
  <c r="AE16" i="14"/>
  <c r="D71" i="21" s="1"/>
  <c r="F10" i="20" s="1"/>
  <c r="AF16" i="14"/>
  <c r="C71" i="21" s="1"/>
  <c r="P12" i="14"/>
  <c r="O12" i="14"/>
  <c r="V10" i="9"/>
  <c r="W10" i="9" s="1"/>
  <c r="Z10" i="9" s="1"/>
  <c r="V5" i="14"/>
  <c r="K12" i="14"/>
  <c r="B12" i="18" s="1"/>
  <c r="R17" i="14"/>
  <c r="U14" i="9"/>
  <c r="F34" i="21" s="1"/>
  <c r="W32" i="9"/>
  <c r="X32" i="9"/>
  <c r="L17" i="12"/>
  <c r="R17" i="12" s="1"/>
  <c r="L11" i="21" s="1"/>
  <c r="Y15" i="9"/>
  <c r="W8" i="9"/>
  <c r="X8" i="9"/>
  <c r="X7" i="9"/>
  <c r="W7" i="9"/>
  <c r="W31" i="9"/>
  <c r="Z31" i="9" s="1"/>
  <c r="X31" i="9"/>
  <c r="B5" i="9"/>
  <c r="D5" i="9" s="1"/>
  <c r="F5" i="9" s="1"/>
  <c r="B11" i="9"/>
  <c r="B9" i="9"/>
  <c r="B10" i="9"/>
  <c r="D19" i="21" s="1"/>
  <c r="B6" i="9"/>
  <c r="G6" i="9" s="1"/>
  <c r="B13" i="9"/>
  <c r="B8" i="9"/>
  <c r="B7" i="9"/>
  <c r="F24" i="1"/>
  <c r="V24" i="1" s="1"/>
  <c r="F37" i="1"/>
  <c r="V37" i="1" s="1"/>
  <c r="F62" i="1"/>
  <c r="V62" i="1" s="1"/>
  <c r="U62" i="1"/>
  <c r="F63" i="1"/>
  <c r="V63" i="1" s="1"/>
  <c r="U63" i="1"/>
  <c r="G59" i="8"/>
  <c r="T59" i="8"/>
  <c r="U60" i="1"/>
  <c r="F22" i="1"/>
  <c r="V22" i="1" s="1"/>
  <c r="V52" i="8"/>
  <c r="T52" i="8"/>
  <c r="V50" i="8"/>
  <c r="T50" i="8"/>
  <c r="V32" i="8"/>
  <c r="T32" i="8"/>
  <c r="V30" i="8"/>
  <c r="T30" i="8"/>
  <c r="V25" i="8"/>
  <c r="T25" i="8"/>
  <c r="V42" i="8"/>
  <c r="T42" i="8"/>
  <c r="V55" i="8"/>
  <c r="T55" i="8"/>
  <c r="V38" i="8"/>
  <c r="T38" i="8"/>
  <c r="V46" i="8"/>
  <c r="T46" i="8"/>
  <c r="V58" i="8"/>
  <c r="T58" i="8"/>
  <c r="V24" i="8"/>
  <c r="T24" i="8"/>
  <c r="V36" i="8"/>
  <c r="T36" i="8"/>
  <c r="V34" i="8"/>
  <c r="T34" i="8"/>
  <c r="V48" i="8"/>
  <c r="T48" i="8"/>
  <c r="V41" i="8"/>
  <c r="T41" i="8"/>
  <c r="V43" i="8"/>
  <c r="T43" i="8"/>
  <c r="V56" i="8"/>
  <c r="T56" i="8"/>
  <c r="V22" i="8"/>
  <c r="T22" i="8"/>
  <c r="V33" i="8"/>
  <c r="T33" i="8"/>
  <c r="V35" i="8"/>
  <c r="T35" i="8"/>
  <c r="V29" i="8"/>
  <c r="T29" i="8"/>
  <c r="V47" i="8"/>
  <c r="T47" i="8"/>
  <c r="V57" i="8"/>
  <c r="T57" i="8"/>
  <c r="V44" i="8"/>
  <c r="T44" i="8"/>
  <c r="V27" i="8"/>
  <c r="T27" i="8"/>
  <c r="V53" i="8"/>
  <c r="T53" i="8"/>
  <c r="V40" i="8"/>
  <c r="T40" i="8"/>
  <c r="V23" i="8"/>
  <c r="T23" i="8"/>
  <c r="V28" i="8"/>
  <c r="T28" i="8"/>
  <c r="V37" i="8"/>
  <c r="T37" i="8"/>
  <c r="V54" i="8"/>
  <c r="T54" i="8"/>
  <c r="V49" i="8"/>
  <c r="T49" i="8"/>
  <c r="V51" i="8"/>
  <c r="T51" i="8"/>
  <c r="V45" i="8"/>
  <c r="T45" i="8"/>
  <c r="V31" i="8"/>
  <c r="T31" i="8"/>
  <c r="V60" i="8"/>
  <c r="T60" i="8"/>
  <c r="V26" i="8"/>
  <c r="T26" i="8"/>
  <c r="V39" i="8"/>
  <c r="T39" i="8"/>
  <c r="F33" i="1"/>
  <c r="V33" i="1" s="1"/>
  <c r="F41" i="1"/>
  <c r="V41" i="1" s="1"/>
  <c r="F34" i="1"/>
  <c r="V34" i="1" s="1"/>
  <c r="U46" i="1"/>
  <c r="F51" i="1"/>
  <c r="V51" i="1" s="1"/>
  <c r="F55" i="1"/>
  <c r="V55" i="1" s="1"/>
  <c r="F35" i="1"/>
  <c r="V35" i="1" s="1"/>
  <c r="U16" i="1"/>
  <c r="U49" i="1"/>
  <c r="U48" i="1"/>
  <c r="U27" i="1"/>
  <c r="U23" i="1"/>
  <c r="U43" i="1"/>
  <c r="U50" i="1"/>
  <c r="F17" i="1"/>
  <c r="V17" i="1" s="1"/>
  <c r="F25" i="1"/>
  <c r="V25" i="1" s="1"/>
  <c r="U18" i="1"/>
  <c r="U32" i="1"/>
  <c r="U57" i="1"/>
  <c r="U30" i="1"/>
  <c r="U40" i="1"/>
  <c r="F54" i="1"/>
  <c r="V54" i="1" s="1"/>
  <c r="U44" i="1"/>
  <c r="F36" i="1"/>
  <c r="V36" i="1" s="1"/>
  <c r="U28" i="1"/>
  <c r="U53" i="1"/>
  <c r="F52" i="1"/>
  <c r="V52" i="1" s="1"/>
  <c r="F19" i="1"/>
  <c r="V19" i="1" s="1"/>
  <c r="F59" i="1"/>
  <c r="V59" i="1" s="1"/>
  <c r="F26" i="1"/>
  <c r="V26" i="1" s="1"/>
  <c r="U21" i="1"/>
  <c r="F47" i="1"/>
  <c r="V47" i="1" s="1"/>
  <c r="F29" i="1"/>
  <c r="V29" i="1" s="1"/>
  <c r="U42" i="1"/>
  <c r="U20" i="1"/>
  <c r="U31" i="1"/>
  <c r="U39" i="1"/>
  <c r="U38" i="1"/>
  <c r="F58" i="1"/>
  <c r="V58" i="1" s="1"/>
  <c r="F61" i="1"/>
  <c r="V61" i="1" s="1"/>
  <c r="F45" i="1"/>
  <c r="V45" i="1" s="1"/>
  <c r="V61" i="8"/>
  <c r="O65" i="6"/>
  <c r="W11" i="14" l="1"/>
  <c r="W16" i="14" s="1"/>
  <c r="V13" i="9"/>
  <c r="W13" i="9" s="1"/>
  <c r="I33" i="21" s="1"/>
  <c r="C9" i="19" a="1"/>
  <c r="E10" i="20"/>
  <c r="U41" i="9"/>
  <c r="V41" i="9" s="1"/>
  <c r="W41" i="9" s="1"/>
  <c r="Z41" i="9" s="1"/>
  <c r="M12" i="21"/>
  <c r="U12" i="9"/>
  <c r="F32" i="21" s="1"/>
  <c r="V11" i="9"/>
  <c r="H31" i="21" s="1"/>
  <c r="AA11" i="14"/>
  <c r="R11" i="18" s="1"/>
  <c r="W35" i="9"/>
  <c r="Z35" i="9" s="1"/>
  <c r="X38" i="9"/>
  <c r="Z15" i="9"/>
  <c r="L35" i="21" s="1"/>
  <c r="U36" i="9"/>
  <c r="V36" i="9" s="1"/>
  <c r="X37" i="9" s="1"/>
  <c r="V6" i="14"/>
  <c r="X6" i="14" s="1"/>
  <c r="V8" i="14"/>
  <c r="X8" i="14" s="1"/>
  <c r="X39" i="9"/>
  <c r="AC12" i="14"/>
  <c r="T17" i="12"/>
  <c r="M11" i="21" s="1"/>
  <c r="AB11" i="14"/>
  <c r="S11" i="18" s="1"/>
  <c r="AD11" i="18" s="1"/>
  <c r="AE11" i="18" s="1"/>
  <c r="C47" i="21"/>
  <c r="D22" i="21"/>
  <c r="C45" i="21"/>
  <c r="D20" i="21"/>
  <c r="U17" i="9"/>
  <c r="H66" i="21"/>
  <c r="AA6" i="18"/>
  <c r="H67" i="21"/>
  <c r="AA7" i="18"/>
  <c r="AB7" i="18"/>
  <c r="Z10" i="18"/>
  <c r="G70" i="21"/>
  <c r="W12" i="18"/>
  <c r="Z12" i="18" s="1"/>
  <c r="AA12" i="18" s="1"/>
  <c r="Z8" i="18"/>
  <c r="I6" i="22" s="1"/>
  <c r="G68" i="21"/>
  <c r="AA17" i="14"/>
  <c r="R16" i="18" s="1"/>
  <c r="AF17" i="14"/>
  <c r="C72" i="21" s="1"/>
  <c r="E11" i="20" s="1"/>
  <c r="AE17" i="14"/>
  <c r="D72" i="21" s="1"/>
  <c r="F11" i="20" s="1"/>
  <c r="AB17" i="14"/>
  <c r="S16" i="18" s="1"/>
  <c r="AD16" i="18" s="1"/>
  <c r="AB16" i="14"/>
  <c r="S15" i="18" s="1"/>
  <c r="AD15" i="18" s="1"/>
  <c r="AE15" i="18" s="1"/>
  <c r="AA16" i="14"/>
  <c r="V14" i="9"/>
  <c r="V9" i="14"/>
  <c r="X5" i="14"/>
  <c r="W5" i="14"/>
  <c r="AB5" i="14" s="1"/>
  <c r="E5" i="9"/>
  <c r="B7" i="12" s="1"/>
  <c r="I7" i="12"/>
  <c r="G7" i="9"/>
  <c r="D10" i="9"/>
  <c r="G10" i="9"/>
  <c r="D8" i="9"/>
  <c r="F8" i="9" s="1"/>
  <c r="G8" i="9"/>
  <c r="D9" i="9"/>
  <c r="F9" i="9" s="1"/>
  <c r="G9" i="9"/>
  <c r="D11" i="9"/>
  <c r="G11" i="9"/>
  <c r="G45" i="21" s="1"/>
  <c r="D13" i="9"/>
  <c r="D7" i="9"/>
  <c r="F7" i="9" s="1"/>
  <c r="B12" i="9"/>
  <c r="D6" i="9"/>
  <c r="F6" i="9" s="1"/>
  <c r="V59" i="8"/>
  <c r="T61" i="8"/>
  <c r="V21" i="8"/>
  <c r="H33" i="21" l="1"/>
  <c r="E6" i="22"/>
  <c r="V12" i="9"/>
  <c r="H32" i="21" s="1"/>
  <c r="X11" i="9"/>
  <c r="Y11" i="9" s="1"/>
  <c r="V7" i="14"/>
  <c r="W7" i="14" s="1"/>
  <c r="AB7" i="14" s="1"/>
  <c r="C9" i="19"/>
  <c r="F17" i="19"/>
  <c r="I16" i="19"/>
  <c r="G18" i="19"/>
  <c r="F9" i="19"/>
  <c r="D11" i="19"/>
  <c r="H16" i="19"/>
  <c r="F14" i="19"/>
  <c r="D12" i="19"/>
  <c r="I9" i="19"/>
  <c r="H17" i="19"/>
  <c r="F15" i="19"/>
  <c r="D13" i="19"/>
  <c r="I10" i="19"/>
  <c r="H18" i="19"/>
  <c r="F16" i="19"/>
  <c r="D14" i="19"/>
  <c r="I11" i="19"/>
  <c r="G9" i="19"/>
  <c r="I12" i="19"/>
  <c r="C10" i="19"/>
  <c r="C18" i="19"/>
  <c r="I17" i="19"/>
  <c r="C15" i="19"/>
  <c r="G11" i="19"/>
  <c r="I18" i="19"/>
  <c r="C16" i="19"/>
  <c r="G12" i="19"/>
  <c r="H9" i="19"/>
  <c r="C17" i="19"/>
  <c r="G13" i="19"/>
  <c r="H10" i="19"/>
  <c r="C14" i="19"/>
  <c r="D16" i="19"/>
  <c r="E13" i="19"/>
  <c r="D17" i="19"/>
  <c r="F11" i="19"/>
  <c r="E15" i="19"/>
  <c r="G10" i="19"/>
  <c r="E16" i="19"/>
  <c r="H15" i="19"/>
  <c r="E17" i="19"/>
  <c r="I13" i="19"/>
  <c r="C11" i="19"/>
  <c r="E18" i="19"/>
  <c r="I14" i="19"/>
  <c r="C12" i="19"/>
  <c r="D9" i="19"/>
  <c r="I15" i="19"/>
  <c r="C13" i="19"/>
  <c r="D10" i="19"/>
  <c r="G14" i="19"/>
  <c r="F13" i="19"/>
  <c r="F10" i="19"/>
  <c r="E14" i="19"/>
  <c r="D18" i="19"/>
  <c r="F12" i="19"/>
  <c r="F18" i="19"/>
  <c r="H14" i="19"/>
  <c r="D15" i="19"/>
  <c r="G15" i="19"/>
  <c r="H13" i="19"/>
  <c r="E11" i="19"/>
  <c r="E12" i="19"/>
  <c r="H12" i="19"/>
  <c r="E10" i="19"/>
  <c r="H11" i="19"/>
  <c r="E9" i="19"/>
  <c r="G17" i="19"/>
  <c r="G16" i="19"/>
  <c r="D8" i="22"/>
  <c r="W11" i="9"/>
  <c r="I31" i="21" s="1"/>
  <c r="W36" i="9"/>
  <c r="Z36" i="9" s="1"/>
  <c r="X36" i="9"/>
  <c r="U16" i="9"/>
  <c r="F36" i="21" s="1"/>
  <c r="F20" i="21"/>
  <c r="F11" i="9"/>
  <c r="F19" i="21"/>
  <c r="F10" i="9"/>
  <c r="F22" i="21"/>
  <c r="F13" i="9"/>
  <c r="U40" i="9"/>
  <c r="V40" i="9" s="1"/>
  <c r="W40" i="9" s="1"/>
  <c r="Z40" i="9" s="1"/>
  <c r="AE12" i="18"/>
  <c r="AC11" i="14"/>
  <c r="F37" i="21"/>
  <c r="V17" i="9"/>
  <c r="V12" i="14"/>
  <c r="E7" i="22"/>
  <c r="H34" i="21"/>
  <c r="G12" i="9"/>
  <c r="G46" i="21" s="1"/>
  <c r="C46" i="21"/>
  <c r="D21" i="21"/>
  <c r="AA10" i="18"/>
  <c r="I8" i="22"/>
  <c r="AB8" i="18"/>
  <c r="AA8" i="18"/>
  <c r="I67" i="21"/>
  <c r="AC7" i="18"/>
  <c r="AF7" i="18" s="1"/>
  <c r="Z16" i="18"/>
  <c r="I10" i="22" s="1"/>
  <c r="W16" i="18"/>
  <c r="G72" i="21" s="1"/>
  <c r="AB9" i="18"/>
  <c r="H68" i="21"/>
  <c r="AB10" i="18"/>
  <c r="H70" i="21"/>
  <c r="W11" i="18"/>
  <c r="Z11" i="18" s="1"/>
  <c r="AC17" i="14"/>
  <c r="S5" i="18"/>
  <c r="AC5" i="14"/>
  <c r="X9" i="14"/>
  <c r="W9" i="14"/>
  <c r="AB9" i="14" s="1"/>
  <c r="AC16" i="14"/>
  <c r="R15" i="18"/>
  <c r="AE16" i="18"/>
  <c r="X15" i="9"/>
  <c r="J35" i="21" s="1"/>
  <c r="X14" i="9"/>
  <c r="W14" i="9"/>
  <c r="I34" i="21" s="1"/>
  <c r="I9" i="12"/>
  <c r="E7" i="9"/>
  <c r="I10" i="12"/>
  <c r="E8" i="9"/>
  <c r="E13" i="9"/>
  <c r="I15" i="12"/>
  <c r="I13" i="12"/>
  <c r="E11" i="9"/>
  <c r="I12" i="12"/>
  <c r="E10" i="9"/>
  <c r="E6" i="9"/>
  <c r="B8" i="12" s="1"/>
  <c r="H8" i="12" s="1"/>
  <c r="J8" i="12" s="1"/>
  <c r="I8" i="12"/>
  <c r="G13" i="9"/>
  <c r="G47" i="21" s="1"/>
  <c r="E9" i="9"/>
  <c r="I11" i="12"/>
  <c r="H7" i="12"/>
  <c r="J7" i="12" s="1"/>
  <c r="D12" i="9"/>
  <c r="X12" i="9" l="1"/>
  <c r="J32" i="21" s="1"/>
  <c r="E5" i="22"/>
  <c r="W12" i="9"/>
  <c r="Z12" i="9" s="1"/>
  <c r="X7" i="14"/>
  <c r="X13" i="9"/>
  <c r="J33" i="21" s="1"/>
  <c r="Z11" i="9"/>
  <c r="L31" i="21" s="1"/>
  <c r="V16" i="9"/>
  <c r="E9" i="22" s="1"/>
  <c r="X41" i="9"/>
  <c r="X40" i="9"/>
  <c r="V11" i="14"/>
  <c r="X11" i="14" s="1"/>
  <c r="X16" i="14" s="1"/>
  <c r="F21" i="21"/>
  <c r="F12" i="9"/>
  <c r="Y14" i="9"/>
  <c r="Z14" i="9" s="1"/>
  <c r="J34" i="21"/>
  <c r="I6" i="14"/>
  <c r="K6" i="14" s="1"/>
  <c r="B6" i="18" s="1"/>
  <c r="G6" i="18" s="1"/>
  <c r="J6" i="18" s="1"/>
  <c r="K6" i="18" s="1"/>
  <c r="J19" i="21"/>
  <c r="G19" i="21"/>
  <c r="X12" i="14"/>
  <c r="X17" i="14" s="1"/>
  <c r="V17" i="14"/>
  <c r="E47" i="21"/>
  <c r="J22" i="21"/>
  <c r="G22" i="21"/>
  <c r="W17" i="9"/>
  <c r="E10" i="22"/>
  <c r="H37" i="21"/>
  <c r="Y13" i="9"/>
  <c r="I7" i="14"/>
  <c r="K7" i="14" s="1"/>
  <c r="E45" i="21"/>
  <c r="J20" i="21"/>
  <c r="G20" i="21"/>
  <c r="H5" i="22"/>
  <c r="J5" i="22" s="1"/>
  <c r="L5" i="22" s="1"/>
  <c r="J67" i="21"/>
  <c r="AB12" i="18"/>
  <c r="AC12" i="18" s="1"/>
  <c r="AF12" i="18" s="1"/>
  <c r="AA11" i="18"/>
  <c r="I69" i="21"/>
  <c r="AC9" i="18"/>
  <c r="AF9" i="18" s="1"/>
  <c r="I68" i="21"/>
  <c r="AC8" i="18"/>
  <c r="AF8" i="18" s="1"/>
  <c r="I70" i="21"/>
  <c r="AC10" i="18"/>
  <c r="AF10" i="18" s="1"/>
  <c r="H72" i="21"/>
  <c r="AA16" i="18"/>
  <c r="Z15" i="18"/>
  <c r="W15" i="18"/>
  <c r="G71" i="21" s="1"/>
  <c r="AB11" i="18"/>
  <c r="AC11" i="18" s="1"/>
  <c r="B11" i="12"/>
  <c r="H11" i="12" s="1"/>
  <c r="I5" i="14"/>
  <c r="S7" i="18"/>
  <c r="AD7" i="18" s="1"/>
  <c r="AC7" i="14"/>
  <c r="B15" i="12"/>
  <c r="H15" i="12" s="1"/>
  <c r="L22" i="21" s="1"/>
  <c r="I9" i="14"/>
  <c r="S9" i="18"/>
  <c r="AD9" i="18" s="1"/>
  <c r="AC9" i="14"/>
  <c r="B12" i="12"/>
  <c r="H12" i="12" s="1"/>
  <c r="B10" i="12"/>
  <c r="J10" i="12" s="1"/>
  <c r="L8" i="9"/>
  <c r="I14" i="12"/>
  <c r="E12" i="9"/>
  <c r="H30" i="9"/>
  <c r="I30" i="9" s="1"/>
  <c r="J30" i="9" s="1"/>
  <c r="H6" i="9"/>
  <c r="I6" i="9" s="1"/>
  <c r="J6" i="9" s="1"/>
  <c r="B13" i="12"/>
  <c r="H31" i="9"/>
  <c r="I31" i="9" s="1"/>
  <c r="H7" i="9"/>
  <c r="I7" i="9" s="1"/>
  <c r="L7" i="9"/>
  <c r="B9" i="12"/>
  <c r="H9" i="12" s="1"/>
  <c r="J9" i="12" s="1"/>
  <c r="X16" i="9" l="1"/>
  <c r="J36" i="21" s="1"/>
  <c r="I32" i="21"/>
  <c r="X17" i="9"/>
  <c r="J37" i="21" s="1"/>
  <c r="W16" i="9"/>
  <c r="Z16" i="9" s="1"/>
  <c r="H36" i="21"/>
  <c r="V16" i="14"/>
  <c r="D7" i="22"/>
  <c r="L34" i="21"/>
  <c r="Z17" i="9"/>
  <c r="I37" i="21"/>
  <c r="D5" i="22"/>
  <c r="L32" i="21"/>
  <c r="J15" i="12"/>
  <c r="K46" i="21"/>
  <c r="E46" i="21"/>
  <c r="J21" i="21"/>
  <c r="G21" i="21"/>
  <c r="J12" i="12"/>
  <c r="M19" i="21" s="1"/>
  <c r="L19" i="21"/>
  <c r="Z13" i="9"/>
  <c r="K33" i="21"/>
  <c r="H8" i="22"/>
  <c r="J8" i="22" s="1"/>
  <c r="J70" i="21"/>
  <c r="J68" i="21"/>
  <c r="H6" i="22"/>
  <c r="J6" i="22" s="1"/>
  <c r="AA15" i="18"/>
  <c r="I9" i="22"/>
  <c r="J69" i="21"/>
  <c r="H7" i="22"/>
  <c r="J7" i="22" s="1"/>
  <c r="D79" i="21"/>
  <c r="E79" i="21"/>
  <c r="AB16" i="18"/>
  <c r="I72" i="21" s="1"/>
  <c r="AF11" i="18"/>
  <c r="AB15" i="18"/>
  <c r="H71" i="21"/>
  <c r="AE7" i="18"/>
  <c r="AE8" i="18"/>
  <c r="B7" i="18"/>
  <c r="K9" i="14"/>
  <c r="J11" i="12"/>
  <c r="H34" i="9" s="1"/>
  <c r="I34" i="9" s="1"/>
  <c r="J34" i="9" s="1"/>
  <c r="M34" i="9" s="1"/>
  <c r="AE9" i="18"/>
  <c r="AE10" i="18"/>
  <c r="B14" i="12"/>
  <c r="H14" i="12" s="1"/>
  <c r="L21" i="21" s="1"/>
  <c r="I8" i="14"/>
  <c r="K5" i="14"/>
  <c r="H32" i="9"/>
  <c r="I32" i="9" s="1"/>
  <c r="H8" i="9"/>
  <c r="I8" i="9" s="1"/>
  <c r="H13" i="12"/>
  <c r="L20" i="21" s="1"/>
  <c r="J7" i="9"/>
  <c r="K7" i="9"/>
  <c r="K31" i="9"/>
  <c r="J31" i="9"/>
  <c r="M31" i="9" s="1"/>
  <c r="H33" i="9"/>
  <c r="H9" i="9"/>
  <c r="H35" i="9" l="1"/>
  <c r="I35" i="9" s="1"/>
  <c r="J35" i="9" s="1"/>
  <c r="I36" i="21"/>
  <c r="H11" i="9"/>
  <c r="F45" i="21" s="1"/>
  <c r="D6" i="22"/>
  <c r="F6" i="22" s="1"/>
  <c r="L33" i="21"/>
  <c r="D9" i="22"/>
  <c r="L36" i="21"/>
  <c r="H14" i="9"/>
  <c r="M22" i="21"/>
  <c r="D10" i="22"/>
  <c r="L37" i="21"/>
  <c r="N8" i="19" s="1" a="1"/>
  <c r="E81" i="21"/>
  <c r="D81" i="21"/>
  <c r="D80" i="21"/>
  <c r="D82" i="21"/>
  <c r="E82" i="21"/>
  <c r="AC16" i="18"/>
  <c r="AF16" i="18" s="1"/>
  <c r="I71" i="21"/>
  <c r="AC15" i="18"/>
  <c r="AF15" i="18" s="1"/>
  <c r="G7" i="18"/>
  <c r="J7" i="18" s="1"/>
  <c r="H10" i="9"/>
  <c r="I10" i="9" s="1"/>
  <c r="J10" i="9" s="1"/>
  <c r="M10" i="9" s="1"/>
  <c r="L8" i="14"/>
  <c r="C8" i="18" s="1"/>
  <c r="N8" i="18" s="1"/>
  <c r="G8" i="14"/>
  <c r="K8" i="14"/>
  <c r="B5" i="18"/>
  <c r="B9" i="18"/>
  <c r="G9" i="18" s="1"/>
  <c r="J9" i="18" s="1"/>
  <c r="K9" i="18" s="1"/>
  <c r="J8" i="9"/>
  <c r="K8" i="9"/>
  <c r="J13" i="12"/>
  <c r="M20" i="21" s="1"/>
  <c r="J32" i="9"/>
  <c r="M32" i="9" s="1"/>
  <c r="K32" i="9"/>
  <c r="J14" i="12"/>
  <c r="M21" i="21" s="1"/>
  <c r="O8" i="19" l="1"/>
  <c r="S17" i="19"/>
  <c r="Q15" i="19"/>
  <c r="O13" i="19"/>
  <c r="T10" i="19"/>
  <c r="R8" i="19"/>
  <c r="Q16" i="19"/>
  <c r="O14" i="19"/>
  <c r="T11" i="19"/>
  <c r="R9" i="19"/>
  <c r="T16" i="19"/>
  <c r="R14" i="19"/>
  <c r="P12" i="19"/>
  <c r="N10" i="19"/>
  <c r="T17" i="19"/>
  <c r="R15" i="19"/>
  <c r="P13" i="19"/>
  <c r="N11" i="19"/>
  <c r="S8" i="19"/>
  <c r="N16" i="19"/>
  <c r="R12" i="19"/>
  <c r="S9" i="19"/>
  <c r="N17" i="19"/>
  <c r="R13" i="19"/>
  <c r="S10" i="19"/>
  <c r="Q17" i="19"/>
  <c r="N14" i="19"/>
  <c r="O11" i="19"/>
  <c r="P8" i="19"/>
  <c r="N15" i="19"/>
  <c r="O12" i="19"/>
  <c r="P9" i="19"/>
  <c r="O17" i="19"/>
  <c r="Q11" i="19"/>
  <c r="P15" i="19"/>
  <c r="N9" i="19"/>
  <c r="T12" i="19"/>
  <c r="S16" i="19"/>
  <c r="Q10" i="19"/>
  <c r="T14" i="19"/>
  <c r="N12" i="19"/>
  <c r="O9" i="19"/>
  <c r="T15" i="19"/>
  <c r="N13" i="19"/>
  <c r="O10" i="19"/>
  <c r="P16" i="19"/>
  <c r="Q13" i="19"/>
  <c r="R10" i="19"/>
  <c r="P17" i="19"/>
  <c r="Q14" i="19"/>
  <c r="R11" i="19"/>
  <c r="P14" i="19"/>
  <c r="N8" i="19"/>
  <c r="Q12" i="19"/>
  <c r="S15" i="19"/>
  <c r="Q9" i="19"/>
  <c r="T13" i="19"/>
  <c r="R17" i="19"/>
  <c r="O15" i="19"/>
  <c r="R16" i="19"/>
  <c r="S14" i="19"/>
  <c r="S11" i="19"/>
  <c r="T9" i="19"/>
  <c r="S13" i="19"/>
  <c r="P11" i="19"/>
  <c r="T8" i="19"/>
  <c r="P10" i="19"/>
  <c r="Q8" i="19"/>
  <c r="O16" i="19"/>
  <c r="S12" i="19"/>
  <c r="C28" i="19" a="1"/>
  <c r="K35" i="9"/>
  <c r="L35" i="9" s="1"/>
  <c r="M35" i="9" s="1"/>
  <c r="F6" i="14"/>
  <c r="H6" i="14" s="1"/>
  <c r="L6" i="14" s="1"/>
  <c r="C6" i="18" s="1"/>
  <c r="N6" i="18" s="1"/>
  <c r="I11" i="9"/>
  <c r="J11" i="9" s="1"/>
  <c r="I45" i="21" s="1"/>
  <c r="C80" i="21"/>
  <c r="L6" i="22"/>
  <c r="E80" i="21" s="1"/>
  <c r="F9" i="14"/>
  <c r="H9" i="14" s="1"/>
  <c r="L9" i="14" s="1"/>
  <c r="F48" i="21"/>
  <c r="H10" i="22"/>
  <c r="J10" i="22" s="1"/>
  <c r="J72" i="21"/>
  <c r="H9" i="22"/>
  <c r="J9" i="22" s="1"/>
  <c r="J71" i="21"/>
  <c r="L7" i="18"/>
  <c r="M7" i="18" s="1"/>
  <c r="K7" i="18"/>
  <c r="F5" i="14"/>
  <c r="G5" i="14" s="1"/>
  <c r="K11" i="9"/>
  <c r="L11" i="9" s="1"/>
  <c r="B8" i="18"/>
  <c r="G8" i="18" s="1"/>
  <c r="J8" i="18" s="1"/>
  <c r="K8" i="18" s="1"/>
  <c r="M8" i="14"/>
  <c r="H36" i="9"/>
  <c r="I36" i="9" s="1"/>
  <c r="H12" i="9"/>
  <c r="F46" i="21" s="1"/>
  <c r="H37" i="9"/>
  <c r="I37" i="9" s="1"/>
  <c r="H13" i="9"/>
  <c r="F47" i="21" s="1"/>
  <c r="M6" i="14" l="1"/>
  <c r="C28" i="19"/>
  <c r="F34" i="19"/>
  <c r="F30" i="19"/>
  <c r="E36" i="19"/>
  <c r="E32" i="19"/>
  <c r="E28" i="19"/>
  <c r="D34" i="19"/>
  <c r="D30" i="19"/>
  <c r="C36" i="19"/>
  <c r="C32" i="19"/>
  <c r="F33" i="19"/>
  <c r="F28" i="19"/>
  <c r="E33" i="19"/>
  <c r="D37" i="19"/>
  <c r="D32" i="19"/>
  <c r="C37" i="19"/>
  <c r="C31" i="19"/>
  <c r="F31" i="19"/>
  <c r="E30" i="19"/>
  <c r="D29" i="19"/>
  <c r="C29" i="19"/>
  <c r="F37" i="19"/>
  <c r="F32" i="19"/>
  <c r="E37" i="19"/>
  <c r="E31" i="19"/>
  <c r="D36" i="19"/>
  <c r="D31" i="19"/>
  <c r="C35" i="19"/>
  <c r="C30" i="19"/>
  <c r="F36" i="19"/>
  <c r="E35" i="19"/>
  <c r="D35" i="19"/>
  <c r="C34" i="19"/>
  <c r="E34" i="19"/>
  <c r="E29" i="19"/>
  <c r="F35" i="19"/>
  <c r="D33" i="19"/>
  <c r="F29" i="19"/>
  <c r="D28" i="19"/>
  <c r="C33" i="19"/>
  <c r="X26" i="19" a="1"/>
  <c r="H45" i="21"/>
  <c r="M11" i="9"/>
  <c r="L45" i="21" s="1"/>
  <c r="G9" i="14"/>
  <c r="C9" i="18"/>
  <c r="N9" i="18" s="1"/>
  <c r="O9" i="18" s="1"/>
  <c r="M9" i="14"/>
  <c r="D83" i="21"/>
  <c r="E83" i="21"/>
  <c r="D84" i="21"/>
  <c r="E84" i="21"/>
  <c r="P7" i="18"/>
  <c r="H5" i="14"/>
  <c r="L5" i="14" s="1"/>
  <c r="C5" i="18" s="1"/>
  <c r="L9" i="18"/>
  <c r="M9" i="18" s="1"/>
  <c r="P9" i="18" s="1"/>
  <c r="L8" i="18"/>
  <c r="M8" i="18" s="1"/>
  <c r="P8" i="18" s="1"/>
  <c r="I13" i="9"/>
  <c r="F8" i="14"/>
  <c r="H8" i="14" s="1"/>
  <c r="I12" i="9"/>
  <c r="F7" i="14"/>
  <c r="J36" i="9"/>
  <c r="K36" i="9"/>
  <c r="L36" i="9" s="1"/>
  <c r="J37" i="9"/>
  <c r="K37" i="9"/>
  <c r="L37" i="9" s="1"/>
  <c r="AG11" i="19" l="1" a="1"/>
  <c r="AL12" i="19" s="1"/>
  <c r="AB28" i="19"/>
  <c r="Y28" i="19"/>
  <c r="Y31" i="19"/>
  <c r="AB27" i="19"/>
  <c r="AD31" i="19"/>
  <c r="AA32" i="19"/>
  <c r="AA29" i="19"/>
  <c r="AD26" i="19"/>
  <c r="Z32" i="19"/>
  <c r="Z29" i="19"/>
  <c r="AC26" i="19"/>
  <c r="Y32" i="19"/>
  <c r="X29" i="19"/>
  <c r="AB26" i="19"/>
  <c r="AB32" i="19"/>
  <c r="Z30" i="19"/>
  <c r="AC32" i="19"/>
  <c r="AA30" i="19"/>
  <c r="AA26" i="19"/>
  <c r="Y30" i="19"/>
  <c r="Z26" i="19"/>
  <c r="AC30" i="19"/>
  <c r="Z27" i="19"/>
  <c r="Z31" i="19"/>
  <c r="AC27" i="19"/>
  <c r="Y33" i="19"/>
  <c r="AC29" i="19"/>
  <c r="AC31" i="19"/>
  <c r="X33" i="19"/>
  <c r="AB33" i="19"/>
  <c r="X26" i="19"/>
  <c r="AB29" i="19"/>
  <c r="Z33" i="19"/>
  <c r="AC28" i="19"/>
  <c r="AD33" i="19"/>
  <c r="X30" i="19"/>
  <c r="Y26" i="19"/>
  <c r="AB30" i="19"/>
  <c r="Y27" i="19"/>
  <c r="X32" i="19"/>
  <c r="Y29" i="19"/>
  <c r="X27" i="19"/>
  <c r="X28" i="19"/>
  <c r="AA28" i="19"/>
  <c r="AD29" i="19"/>
  <c r="AA31" i="19"/>
  <c r="AA33" i="19"/>
  <c r="AB31" i="19"/>
  <c r="AD28" i="19"/>
  <c r="AD27" i="19"/>
  <c r="AD30" i="19"/>
  <c r="X31" i="19"/>
  <c r="AD32" i="19"/>
  <c r="AA27" i="19"/>
  <c r="Z28" i="19"/>
  <c r="AC33" i="19"/>
  <c r="J13" i="9"/>
  <c r="I47" i="21" s="1"/>
  <c r="H47" i="21"/>
  <c r="J12" i="9"/>
  <c r="I46" i="21" s="1"/>
  <c r="H46" i="21"/>
  <c r="M5" i="14"/>
  <c r="K12" i="9"/>
  <c r="K13" i="9"/>
  <c r="H7" i="14"/>
  <c r="L7" i="14" s="1"/>
  <c r="G7" i="14"/>
  <c r="M36" i="9"/>
  <c r="M37" i="9"/>
  <c r="AG11" i="19" l="1"/>
  <c r="AL11" i="19"/>
  <c r="AK11" i="19"/>
  <c r="AJ12" i="19"/>
  <c r="AG12" i="19"/>
  <c r="AJ11" i="19"/>
  <c r="AJ13" i="19"/>
  <c r="AK13" i="19"/>
  <c r="AL13" i="19"/>
  <c r="AI13" i="19"/>
  <c r="AH13" i="19"/>
  <c r="AI11" i="19"/>
  <c r="AG13" i="19"/>
  <c r="AK12" i="19"/>
  <c r="AI12" i="19"/>
  <c r="AH11" i="19"/>
  <c r="AH12" i="19"/>
  <c r="L13" i="9"/>
  <c r="J47" i="21"/>
  <c r="L12" i="9"/>
  <c r="M12" i="9" s="1"/>
  <c r="L46" i="21" s="1"/>
  <c r="J46" i="21"/>
  <c r="C7" i="18"/>
  <c r="N7" i="18" s="1"/>
  <c r="M7" i="14"/>
  <c r="K47" i="21" l="1"/>
  <c r="M13" i="9"/>
  <c r="L47" i="21" s="1"/>
  <c r="O8" i="18"/>
  <c r="O7" i="18"/>
  <c r="N28" i="19" l="1" a="1"/>
  <c r="N28" i="19" l="1"/>
  <c r="P31" i="19"/>
  <c r="N37" i="19"/>
  <c r="N33" i="19"/>
  <c r="N29" i="19"/>
  <c r="O34" i="19"/>
  <c r="O30" i="19"/>
  <c r="P35" i="19"/>
  <c r="N34" i="19"/>
  <c r="P28" i="19"/>
  <c r="P33" i="19"/>
  <c r="O28" i="19"/>
  <c r="O33" i="19"/>
  <c r="O31" i="19"/>
  <c r="N35" i="19"/>
  <c r="O37" i="19"/>
  <c r="P30" i="19"/>
  <c r="O35" i="19"/>
  <c r="N31" i="19"/>
  <c r="P36" i="19"/>
  <c r="N30" i="19"/>
  <c r="O32" i="19"/>
  <c r="N36" i="19"/>
  <c r="O29" i="19"/>
  <c r="P37" i="19"/>
  <c r="P34" i="19"/>
  <c r="P32" i="19"/>
  <c r="O36" i="19"/>
  <c r="P29" i="19"/>
  <c r="N32" i="19"/>
</calcChain>
</file>

<file path=xl/comments1.xml><?xml version="1.0" encoding="utf-8"?>
<comments xmlns="http://schemas.openxmlformats.org/spreadsheetml/2006/main">
  <authors>
    <author>Pääkkönen Jenni</author>
  </authors>
  <commentList>
    <comment ref="P9" authorId="0">
      <text>
        <r>
          <rPr>
            <b/>
            <sz val="9"/>
            <color indexed="81"/>
            <rFont val="Tahoma"/>
            <charset val="1"/>
          </rPr>
          <t>Pääkkönen Jenni:</t>
        </r>
        <r>
          <rPr>
            <sz val="9"/>
            <color indexed="81"/>
            <rFont val="Tahoma"/>
            <charset val="1"/>
          </rPr>
          <t xml:space="preserve">
w2014
</t>
        </r>
      </text>
    </comment>
  </commentList>
</comments>
</file>

<file path=xl/sharedStrings.xml><?xml version="1.0" encoding="utf-8"?>
<sst xmlns="http://schemas.openxmlformats.org/spreadsheetml/2006/main" count="1219" uniqueCount="458">
  <si>
    <t>Aika</t>
  </si>
  <si>
    <t>Muuttuja</t>
  </si>
  <si>
    <t>Yksikkö</t>
  </si>
  <si>
    <t>Muunnos</t>
  </si>
  <si>
    <t>BKT</t>
  </si>
  <si>
    <t xml:space="preserve">2005 mrd. € </t>
  </si>
  <si>
    <t>Pääoma</t>
  </si>
  <si>
    <t>Työlliset</t>
  </si>
  <si>
    <t>1000 henk.</t>
  </si>
  <si>
    <t>Työvoima</t>
  </si>
  <si>
    <t>Kapisiteetin käyttöaste</t>
  </si>
  <si>
    <t>ln</t>
  </si>
  <si>
    <t>lur</t>
  </si>
  <si>
    <t>ddw</t>
  </si>
  <si>
    <t>ddtot</t>
  </si>
  <si>
    <t>dwprod</t>
  </si>
  <si>
    <t>ddtot-1</t>
  </si>
  <si>
    <t>dwprod-1</t>
  </si>
  <si>
    <t>ws</t>
  </si>
  <si>
    <t>ws1</t>
  </si>
  <si>
    <t>ws2</t>
  </si>
  <si>
    <t>ddws</t>
  </si>
  <si>
    <t>Työttömyysaste (harmonisoitu)</t>
  </si>
  <si>
    <t>%-työvoimasta</t>
  </si>
  <si>
    <t>Ansiotasoindeksi</t>
  </si>
  <si>
    <t>Työntuottavuus</t>
  </si>
  <si>
    <t>Vaihtosuhde</t>
  </si>
  <si>
    <t>Tunnus</t>
  </si>
  <si>
    <t>Työn tuottavuus</t>
  </si>
  <si>
    <t>Työn tulo-osuus</t>
  </si>
  <si>
    <t>Lin. komb.</t>
  </si>
  <si>
    <t>Viipe</t>
  </si>
  <si>
    <t>Differenssi</t>
  </si>
  <si>
    <t xml:space="preserve">wprod-1 (ddw-1) </t>
  </si>
  <si>
    <t>wprod (wprod1)</t>
  </si>
  <si>
    <t>Työvoimapanos</t>
  </si>
  <si>
    <t>Työikäinen väestö (16-74)</t>
  </si>
  <si>
    <t>part</t>
  </si>
  <si>
    <t>parts</t>
  </si>
  <si>
    <t>popw</t>
  </si>
  <si>
    <t>lf</t>
  </si>
  <si>
    <t>hpere</t>
  </si>
  <si>
    <t>l</t>
  </si>
  <si>
    <t>totalh</t>
  </si>
  <si>
    <t>HP, lambda=10</t>
  </si>
  <si>
    <t>Tasapaino työttömyys</t>
  </si>
  <si>
    <t>NAWRU/NAIRU</t>
  </si>
  <si>
    <t>Työtuntien trendi</t>
  </si>
  <si>
    <t>hperehp</t>
  </si>
  <si>
    <t>Työpanoksen trendi</t>
  </si>
  <si>
    <t>Investoinnit</t>
  </si>
  <si>
    <t>Pääoman kulumisaste</t>
  </si>
  <si>
    <t>Potentiaalinen tuotanto</t>
  </si>
  <si>
    <t>Tuotantokuilu</t>
  </si>
  <si>
    <t>kt</t>
  </si>
  <si>
    <t>iq</t>
  </si>
  <si>
    <t>ypot</t>
  </si>
  <si>
    <t>dep</t>
  </si>
  <si>
    <t>Komissio</t>
  </si>
  <si>
    <t>VM</t>
  </si>
  <si>
    <t>totalhs</t>
  </si>
  <si>
    <t>Puolijousto</t>
  </si>
  <si>
    <t>Suhde BKT:hen, %</t>
  </si>
  <si>
    <t>HUOM! Suuret suhteelliset erot eivät vielä tarkoita suuria absoluuttisia eroja!</t>
  </si>
  <si>
    <t>Erotus, %</t>
  </si>
  <si>
    <t>BKT/Työlliset, kasvuaste</t>
  </si>
  <si>
    <t>Muuttujien väliset yhteydet talukossa:</t>
  </si>
  <si>
    <t>Muuta huomioitavaa:</t>
  </si>
  <si>
    <t>Nawru:n ennuste laskettu kaavaalla: x(t+1)=x(t)+0.5*(x(t)-x(t-1))</t>
  </si>
  <si>
    <t>Muuta huomoitavaa:</t>
  </si>
  <si>
    <t>Komission työikäisen väestön ennuste Eurostatilta ja VM:n tilastokeskukselta</t>
  </si>
  <si>
    <t>I(t+1)-I(t)</t>
  </si>
  <si>
    <t>D(t-1)</t>
  </si>
  <si>
    <t>T(t-1)</t>
  </si>
  <si>
    <t>Keskim. työtunnit vuodessa</t>
  </si>
  <si>
    <t>Työtunnit vuodessa</t>
  </si>
  <si>
    <t>100 henk.</t>
  </si>
  <si>
    <t>Osallistumis-aste</t>
  </si>
  <si>
    <t>Osallistumisas-teen trendi</t>
  </si>
  <si>
    <t>Muuta huomioitavaa</t>
  </si>
  <si>
    <t>Pääoman ja investointien ennusteet on saatu seuraavalla menettelyllä:</t>
  </si>
  <si>
    <t>Potentiaalinen tuotanto voidaan ratkaista, jolloin saadaan iq/ypot -ennusteesta iq</t>
  </si>
  <si>
    <t>Käyttämällä edellälaskettua ennustetta, pääoman kumuloitusmisyhtälöä (jaettuna ypot) ja kulumisasteen vakioisuutta saadaan kt numeerisesti ratkaistua.</t>
  </si>
  <si>
    <t>Kokonaistuotta-vuuden trendi</t>
  </si>
  <si>
    <t>Kokonais-tuottavuus</t>
  </si>
  <si>
    <t>Työvoima-panos</t>
  </si>
  <si>
    <t>sr</t>
  </si>
  <si>
    <t>cubs08</t>
  </si>
  <si>
    <t>srkf</t>
  </si>
  <si>
    <t>1965-1979 kokonaistuottavuuden trendi on laskettu käyttämällä HP-filteröidyn sr:n trendin kasuvuasteita, kun lähtöpiste on srkf vuonna 1980</t>
  </si>
  <si>
    <t>Suhteessa ypot, %</t>
  </si>
  <si>
    <t>Työvoiman tulo-osuus olettu arvoon 0.65</t>
  </si>
  <si>
    <t>%-yksikköä</t>
  </si>
  <si>
    <t>Rakenteellinen jäämä</t>
  </si>
  <si>
    <t>Suhde ypot, %</t>
  </si>
  <si>
    <t>Kasvuaste</t>
  </si>
  <si>
    <t>Keskipalkka, (palkka+sotu)/palkansaajat</t>
  </si>
  <si>
    <t xml:space="preserve">wprod1  </t>
  </si>
  <si>
    <t>wprod</t>
  </si>
  <si>
    <t>+1</t>
  </si>
  <si>
    <t>wprod1</t>
  </si>
  <si>
    <t xml:space="preserve">wprod </t>
  </si>
  <si>
    <t>I(t)-I(t-1)</t>
  </si>
  <si>
    <t>K(t-1)</t>
  </si>
  <si>
    <t>K(t-2)</t>
  </si>
  <si>
    <t>KJ((t)-K(t-1))-(K(t-1)-K(t-2))</t>
  </si>
  <si>
    <t>I(t+1)</t>
  </si>
  <si>
    <t>F(t-1)</t>
  </si>
  <si>
    <t>erotus</t>
  </si>
  <si>
    <t>MTO</t>
  </si>
  <si>
    <t>Merkittävä poikkeama</t>
  </si>
  <si>
    <t>Onko MTO saavutettu t-1?</t>
  </si>
  <si>
    <t>Poikkeama MTO:sta</t>
  </si>
  <si>
    <t>Keskimäräisten työtuntien ennuste:  AR(2), käytetty data 1976-2015 (komissio) ja käytetty data 1976-2016 (VM)</t>
  </si>
  <si>
    <t>Osallistumisasteen ennuste: AR(3), käytetty data 1990 -2015 (komissio) ja  1990 -2016 (VM).</t>
  </si>
  <si>
    <t>Erotus %-yksikköä</t>
  </si>
  <si>
    <t>PARTS</t>
  </si>
  <si>
    <t>HPEREHP</t>
  </si>
  <si>
    <t>TOTALHS</t>
  </si>
  <si>
    <t>Max ero 0.016% (v. 2018)</t>
  </si>
  <si>
    <t>Ero vuonna 2013 0.055%</t>
  </si>
  <si>
    <t>Max ero  0.019% (v. 2018)</t>
  </si>
  <si>
    <t>VTV:n ja komission sarjojen erot:</t>
  </si>
  <si>
    <t>Max ero  0.003% (v. 2018)</t>
  </si>
  <si>
    <t>Ero  2013  0.007%</t>
  </si>
  <si>
    <t>Ero  2013  0.001%</t>
  </si>
  <si>
    <t>Pääoman kulumisaste oletettu vakioksi 2012-2018</t>
  </si>
  <si>
    <t>Aluksi on ennustettu iq/ypot sarjaa AR(2) mallilla, käytetty data 1991-2015.</t>
  </si>
  <si>
    <t>KT</t>
  </si>
  <si>
    <t>Max ero &lt;0.001%</t>
  </si>
  <si>
    <t>Ero 2013 &lt; 0.001%</t>
  </si>
  <si>
    <t>IQ</t>
  </si>
  <si>
    <t>Max ero 0.01% (vuonna 2018)</t>
  </si>
  <si>
    <t>DEP</t>
  </si>
  <si>
    <t>Max ero 0.002 (vuonna 2018)</t>
  </si>
  <si>
    <t>gdpq/y</t>
  </si>
  <si>
    <t>SRKF</t>
  </si>
  <si>
    <t>Sarjat samat</t>
  </si>
  <si>
    <t>NAWRU</t>
  </si>
  <si>
    <t>YPOT</t>
  </si>
  <si>
    <t>Max ero 0,01% (v. 2018)</t>
  </si>
  <si>
    <t>GAP</t>
  </si>
  <si>
    <t>gap</t>
  </si>
  <si>
    <t>VTV:n ja VM:n sarjojen erot:</t>
  </si>
  <si>
    <t>Max ero -0,069% (v. 2018)</t>
  </si>
  <si>
    <t>Ero 2013 0.0089%</t>
  </si>
  <si>
    <t>Max ero  0,01 %-yksikköä</t>
  </si>
  <si>
    <t>Ero 2013 0.004 %-yksikköä</t>
  </si>
  <si>
    <t>Ero  2013 (-)0.009 %-yksikköä</t>
  </si>
  <si>
    <t>Max ero  0,07 %-yksikköä (v. 2018)</t>
  </si>
  <si>
    <t>Ero 2013 (-)0.0036%</t>
  </si>
  <si>
    <t>Jäämän suhdanteista riippuva osa</t>
  </si>
  <si>
    <t>Kertaluonteiset ja tilapäiset toimet</t>
  </si>
  <si>
    <t>Komission  jäämä AMECO:sta</t>
  </si>
  <si>
    <t>Komission kertaluonteiset erät voi laskea rakenteellisen ja suhdannekorjatin jäämän erotuksena (AMECO)</t>
  </si>
  <si>
    <t>VM:n kertaluonteiset erät saatu on saatu VM:ltä</t>
  </si>
  <si>
    <t>EDP-jäämä</t>
  </si>
  <si>
    <t>Ero 2013 0.0046 %-yksikköä</t>
  </si>
  <si>
    <t>Max ero 0.035 %-yksikköä (v. 2018)</t>
  </si>
  <si>
    <t>Ameco-tietokanta</t>
  </si>
  <si>
    <t>Ero 2013 -0.013 %-yksikköä</t>
  </si>
  <si>
    <t>Max abs. ero (-)0.02 %-yksikköä (v. 2009)</t>
  </si>
  <si>
    <t>VM:n laskelma</t>
  </si>
  <si>
    <t>Sarjat arvot samat</t>
  </si>
  <si>
    <t>Keskiarvo</t>
  </si>
  <si>
    <t>VM: EDP-jäämä saatu VM:ltä</t>
  </si>
  <si>
    <t>Vuodelle 2013 EDP-jäämä tilastokeskukselta sekä VM:llä että komissiolle</t>
  </si>
  <si>
    <t>Kasvuaste,%</t>
  </si>
  <si>
    <t>Julkisyhteisöjen jäämä (EDP)</t>
  </si>
  <si>
    <t>Onko alijäämä yli 3%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</si>
  <si>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</si>
  <si>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</si>
  <si>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</si>
  <si>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</si>
  <si>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</si>
  <si>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</si>
  <si>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</si>
  <si>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</si>
  <si>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</si>
  <si>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</si>
  <si>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</si>
  <si>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</si>
  <si>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</si>
  <si>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</si>
  <si>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</si>
  <si>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</si>
  <si>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</si>
  <si>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</si>
  <si>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</si>
  <si>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</si>
  <si>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</si>
  <si>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</si>
  <si>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</si>
  <si>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</si>
  <si>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</si>
  <si>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</si>
  <si>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</si>
  <si>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</si>
  <si>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</si>
  <si>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</si>
  <si>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</si>
  <si>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</si>
  <si>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</si>
  <si>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</si>
  <si>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</si>
  <si>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</si>
  <si>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</si>
  <si>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1. kriteeri:velan taso</t>
  </si>
  <si>
    <t>3. kriteeri osa b): syklinen korjaus</t>
  </si>
  <si>
    <t>4. Kokonasiarvio</t>
  </si>
  <si>
    <t>1. kriteeri: velan taso</t>
  </si>
  <si>
    <t>Julkisyhteisöjen EDP-velkan taso</t>
  </si>
  <si>
    <t>Onko velka alle 60% BKT:sta</t>
  </si>
  <si>
    <t>Velan vähentymis-säännön arvo</t>
  </si>
  <si>
    <t>Onko velka alle taaksepäin katsovan tason</t>
  </si>
  <si>
    <t>Onko velka alle eteenpäin katsovan tason</t>
  </si>
  <si>
    <t>EDP-velka</t>
  </si>
  <si>
    <t>BKT deflaattori</t>
  </si>
  <si>
    <t>EDP-jäämän syklinen osa</t>
  </si>
  <si>
    <t>Potentiaalisen tuotannon kasvuaste</t>
  </si>
  <si>
    <t>BKT deflaattorin kasvuaste</t>
  </si>
  <si>
    <t>BKT:n korjattu taso</t>
  </si>
  <si>
    <t>Velan korjattu taso</t>
  </si>
  <si>
    <t>Velan suhdannekorjattu taso</t>
  </si>
  <si>
    <t>Onko korjattu velka alle taaksepäin katsovan tason</t>
  </si>
  <si>
    <t>Kyllä=1, Ei=0</t>
  </si>
  <si>
    <t>€, käypähintainen</t>
  </si>
  <si>
    <t>2005=100</t>
  </si>
  <si>
    <t>2005 hinnoin</t>
  </si>
  <si>
    <t>€, käyphintainen</t>
  </si>
  <si>
    <t>Suhde ypot</t>
  </si>
  <si>
    <t>2012*</t>
  </si>
  <si>
    <t>2013*</t>
  </si>
  <si>
    <t>VM:n luvut vuosille 1975 - 2011 tilastokeskukselta ja 2012 - 2018 Julkisen talouden suunnitelma s. 9 ja VTV:n laskelmat</t>
  </si>
  <si>
    <t>Komission luvut AMECO-tietokanta ja VTV:n laskelmat</t>
  </si>
  <si>
    <t>Jos velka säännön ylittäminen pientä ja väliaikaista, voidaan velkasäännön arvioinnissa huomioida erinäisiä tekijöitä.</t>
  </si>
  <si>
    <t>Suomen kohdalta tälläisiä keskeisiä tekijöitä ovat</t>
  </si>
  <si>
    <t>Poikkeukselliset olosuhteet</t>
  </si>
  <si>
    <t xml:space="preserve">Unionin solidaarisuus ohjelmiin annetut varat. Vuoteen 2013 mennessä ERVV-lainat nostaneet velkatasoa 3,4 mrd. Vuonna 2012 vastaava luku oli 2,7 mrd. </t>
  </si>
  <si>
    <t xml:space="preserve">Vade Mecum s. 60: Maata ei tule laittaa EDP-ohjelmaan johtuen siitä, että maa on osallistunut EU:n solidaarisuus operaatioihin. </t>
  </si>
  <si>
    <t>Muutokset kassan koossa ja muut mahdoliset velan hallintaan liittyvät tekijät.</t>
  </si>
  <si>
    <t>Kestävyysriski</t>
  </si>
  <si>
    <t>Poikkeama tavoitteesta</t>
  </si>
  <si>
    <t>Kahden viime vuoden poikkeaman keskiarvo</t>
  </si>
  <si>
    <t>Onko kahden viime vuoden poikkeaman keskiarvo &gt; 0.25%</t>
  </si>
  <si>
    <t>Onko poikkeama &gt; 0,5%?</t>
  </si>
  <si>
    <t>-</t>
  </si>
  <si>
    <t>Tuotankuilu</t>
  </si>
  <si>
    <t>Suhde pot. tuot., %</t>
  </si>
  <si>
    <t>S1-indikaattori</t>
  </si>
  <si>
    <t>Tuotankuilun määräämä parannus rakenteellisessa jäämässä</t>
  </si>
  <si>
    <t>Muutos rak. jäämässä</t>
  </si>
  <si>
    <t>Lopullinen vaadittu muutos rakenteellisessa jäämässä</t>
  </si>
  <si>
    <t>Julkiset menot yhteensä</t>
  </si>
  <si>
    <t>Korkomenot</t>
  </si>
  <si>
    <t>Kiinteän pääoman muodostuminen (br.)</t>
  </si>
  <si>
    <t>Kiinteän pääoman muodostumisen keskiarvo (4v.)</t>
  </si>
  <si>
    <t>EU:n ohjemien menot, jotka korvataan täysin EU:n varoista saatavilla tuloilla</t>
  </si>
  <si>
    <t>Suhdannekehityksestä johtuvat muutokset työttömyysmenoissa</t>
  </si>
  <si>
    <t>Korjattu menoaggregaatti (KMA1)</t>
  </si>
  <si>
    <t>Päätösperäisten toimien vaikutus tuloihin</t>
  </si>
  <si>
    <t>Korvamerkityillä tuloilla rahoitetut menot</t>
  </si>
  <si>
    <t>Korjattu menoaggregaatti (KMA2)</t>
  </si>
  <si>
    <t>Kasvu-%</t>
  </si>
  <si>
    <t xml:space="preserve">Kevät </t>
  </si>
  <si>
    <t>Syksy</t>
  </si>
  <si>
    <t>mrd. €</t>
  </si>
  <si>
    <t>Komission ennusteet BKT-deflaattorille</t>
  </si>
  <si>
    <t>Kevään ja syksyn keskiarvo</t>
  </si>
  <si>
    <t>VM:n BKT-deflaattori</t>
  </si>
  <si>
    <t>Potentiaalisen tuotannon referenssi  kasvuaste</t>
  </si>
  <si>
    <t>lähentymismargi-naali, vakio</t>
  </si>
  <si>
    <t>KMA1(t-1) /BKT(t)</t>
  </si>
  <si>
    <t>luvut muutettu</t>
  </si>
  <si>
    <t xml:space="preserve">Huom! 2013 -2018 </t>
  </si>
  <si>
    <t xml:space="preserve">Lisäksi vuosien komissiolle vuodelle 2014 on korjattu sama ero </t>
  </si>
  <si>
    <t>Rakenteellisenen jäämän muutos:     t-(t-1)</t>
  </si>
  <si>
    <t>Onko MTO saavutettu?</t>
  </si>
  <si>
    <t>Rakenteellisen jäämän muutostavoite</t>
  </si>
  <si>
    <t>Kahden vuoden poikkeaman keskiarvo</t>
  </si>
  <si>
    <r>
      <t>Rakenteellisen jäämän</t>
    </r>
    <r>
      <rPr>
        <sz val="11"/>
        <color theme="1"/>
        <rFont val="Arial"/>
        <family val="2"/>
        <scheme val="minor"/>
      </rPr>
      <t xml:space="preserve"> arviointi (VTV:n toistamat arvot)</t>
    </r>
  </si>
  <si>
    <t xml:space="preserve">Rakenteellisen jäämän muutostavoite </t>
  </si>
  <si>
    <r>
      <t>Rakenteellisen jäämän</t>
    </r>
    <r>
      <rPr>
        <sz val="11"/>
        <color theme="1"/>
        <rFont val="Arial"/>
        <family val="2"/>
        <scheme val="minor"/>
      </rPr>
      <t xml:space="preserve"> arviointi </t>
    </r>
    <r>
      <rPr>
        <i/>
        <sz val="11"/>
        <color theme="1"/>
        <rFont val="Arial"/>
        <family val="2"/>
        <scheme val="minor"/>
      </rPr>
      <t>komission ja VM:n omilla arvoilla</t>
    </r>
  </si>
  <si>
    <t>Vaadittu muutos rakenteellisessa jäämässä</t>
  </si>
  <si>
    <t>Lopullinen vaadittu muutos rakenteellisessa jäämässä huomioiden erotus MTO:sta</t>
  </si>
  <si>
    <t>Onko MTO saavutettu periodin lopussa</t>
  </si>
  <si>
    <t>Kiinteän pääoman muodostuminen</t>
  </si>
  <si>
    <t>Nawru</t>
  </si>
  <si>
    <t>Työttömyysmenot</t>
  </si>
  <si>
    <t>Ero 2020 -0.09%</t>
  </si>
  <si>
    <t>Ero 2020 0.1%</t>
  </si>
  <si>
    <t>Ero 2020 -0.016%</t>
  </si>
  <si>
    <t>Ero 2020 &lt; 0.007%</t>
  </si>
  <si>
    <t>Ero 2020 0.06%</t>
  </si>
  <si>
    <t>Julkisen sektorin koko</t>
  </si>
  <si>
    <t>Rakenteellisen jäämän vaadittu muutos</t>
  </si>
  <si>
    <t>lähentymismargi-naali, muuttuva (laskutapa 1)</t>
  </si>
  <si>
    <t>lähentymismargi-naali, muuttuva (laskutapa 2)</t>
  </si>
  <si>
    <t>BKT:hen, %-yksikköä</t>
  </si>
  <si>
    <t>Menosääntöjen mukaisten menojen</t>
  </si>
  <si>
    <t>Onko MTO saavutettu periodin alussa</t>
  </si>
  <si>
    <t>Sääntöjen erotus</t>
  </si>
  <si>
    <t>Vuodet 2017 ja 2018 komission potentiaalisen tuotannon kasvulla</t>
  </si>
  <si>
    <t>=</t>
  </si>
  <si>
    <t>Vuodet 2019 ja 2020 = C-sarakkeen arvot</t>
  </si>
  <si>
    <t>Menosääntöjen mukaisten menojen nominaalikasvu</t>
  </si>
  <si>
    <t>Vuodet</t>
  </si>
  <si>
    <t>HUOM! Tässä laskettua rakenteellisen jäämän muutostavoitetta käytetään aina seuraavana vuotena. Esimerkiksi vuoden 2012 tavoitetta sovelletaan vuoteen 2013.</t>
  </si>
  <si>
    <t>Vuodet/yksikkö</t>
  </si>
  <si>
    <t>Vuosi/yksikkö</t>
  </si>
  <si>
    <t>Keskiarvo julkisen sektorin koon keskiarvo</t>
  </si>
  <si>
    <r>
      <t xml:space="preserve">Menosääntö, </t>
    </r>
    <r>
      <rPr>
        <b/>
        <sz val="11"/>
        <color theme="1"/>
        <rFont val="Arial"/>
        <family val="2"/>
        <scheme val="minor"/>
      </rPr>
      <t xml:space="preserve">vakio </t>
    </r>
    <r>
      <rPr>
        <sz val="11"/>
        <color theme="1"/>
        <rFont val="Arial"/>
        <family val="2"/>
        <scheme val="minor"/>
      </rPr>
      <t>lähentymismarginaali</t>
    </r>
  </si>
  <si>
    <r>
      <t xml:space="preserve">Menosääntö, </t>
    </r>
    <r>
      <rPr>
        <b/>
        <sz val="11"/>
        <color theme="1"/>
        <rFont val="Arial"/>
        <family val="2"/>
        <scheme val="minor"/>
      </rPr>
      <t>vaihtuva</t>
    </r>
    <r>
      <rPr>
        <sz val="11"/>
        <color theme="1"/>
        <rFont val="Arial"/>
        <family val="2"/>
        <scheme val="minor"/>
      </rPr>
      <t xml:space="preserve"> lähentymismarginaali</t>
    </r>
  </si>
  <si>
    <r>
      <t xml:space="preserve">Menosääntö, </t>
    </r>
    <r>
      <rPr>
        <b/>
        <sz val="11"/>
        <color theme="1"/>
        <rFont val="Arial"/>
        <family val="2"/>
        <scheme val="minor"/>
      </rPr>
      <t>vakio</t>
    </r>
    <r>
      <rPr>
        <sz val="11"/>
        <color theme="1"/>
        <rFont val="Arial"/>
        <family val="2"/>
        <scheme val="minor"/>
      </rPr>
      <t xml:space="preserve"> lähentymismarginaali</t>
    </r>
  </si>
  <si>
    <r>
      <t xml:space="preserve">Poikkeama menosäännöstä, </t>
    </r>
    <r>
      <rPr>
        <b/>
        <sz val="11"/>
        <color theme="1"/>
        <rFont val="Arial"/>
        <family val="2"/>
        <scheme val="minor"/>
      </rPr>
      <t xml:space="preserve">vakio marg. </t>
    </r>
  </si>
  <si>
    <t>Kahden vuoden poikkeamien keskiarvo</t>
  </si>
  <si>
    <r>
      <t xml:space="preserve">Poikkeama menosäännöstä,  </t>
    </r>
    <r>
      <rPr>
        <b/>
        <sz val="11"/>
        <color theme="1"/>
        <rFont val="Arial"/>
        <family val="2"/>
        <scheme val="minor"/>
      </rPr>
      <t>muuttuva marg.</t>
    </r>
  </si>
  <si>
    <t>Menosääntöjen mukaisten menojen kasvuaste</t>
  </si>
  <si>
    <t>Menosääntö jos MTO:ssa</t>
  </si>
  <si>
    <t>Menosääntö jos ei MTO:ssa</t>
  </si>
  <si>
    <t>Rakenteellinen jäämä*</t>
  </si>
  <si>
    <t>MTO*</t>
  </si>
  <si>
    <t>Poikkeama MTO:sta***</t>
  </si>
  <si>
    <t xml:space="preserve">Onko MTO saavutettu </t>
  </si>
  <si>
    <t>EDP-velka**</t>
  </si>
  <si>
    <t>S1-indikaattori*</t>
  </si>
  <si>
    <t>Onko velka tai kestävyys riski?</t>
  </si>
  <si>
    <t>Tuotantokuilu*</t>
  </si>
  <si>
    <t>Rakenteellisen jäämän muutostavoite ***</t>
  </si>
  <si>
    <t>Rakenteellisen jäämän muutostavoite huomioiden erotus MTO:sta***</t>
  </si>
  <si>
    <t>* Suhteessa potentiaaliseen tuotantoon, prosenttia</t>
  </si>
  <si>
    <t>** Suhteessa BKT:hen, prosenttia</t>
  </si>
  <si>
    <t>***Prosenttiyksikköä</t>
  </si>
  <si>
    <t>Onko MTO saavutettu</t>
  </si>
  <si>
    <t>EDP-velka * *</t>
  </si>
  <si>
    <t xml:space="preserve">S1-indikaattori* </t>
  </si>
  <si>
    <t>Tuotantokuilu *</t>
  </si>
  <si>
    <t>Rakenteellisen jäämän muutostavoite huomioiden erotus MTO:sta</t>
  </si>
  <si>
    <t>Rakenteellisen jäämän muutos: t-(t-1)</t>
  </si>
  <si>
    <t>Rakenteellisen jäämän erotus MTO:sta</t>
  </si>
  <si>
    <t>Onko MTO saavutettu periodin lopussa?</t>
  </si>
  <si>
    <t>Vaadittu rakenteellisen jäämän muutos*</t>
  </si>
  <si>
    <t>Toteutunut rakenteellisen jäämän muutos</t>
  </si>
  <si>
    <t>Poikkeama vaaditusta</t>
  </si>
  <si>
    <t>Onko poikkeama &gt; 0.5 %-yksikköä?</t>
  </si>
  <si>
    <t>Poikkeamien kahden vuoden keskiarvo</t>
  </si>
  <si>
    <t>Onko poikkeama merkittävä?</t>
  </si>
  <si>
    <t>Menosäännön menojen erät, mrd €</t>
  </si>
  <si>
    <t>2014e</t>
  </si>
  <si>
    <t>2015e</t>
  </si>
  <si>
    <t>—</t>
  </si>
  <si>
    <t>EU:n ohjelmien menot, jotka korvataan täysin EU:n varoista saatavilla tuloilla</t>
  </si>
  <si>
    <t>5a.</t>
  </si>
  <si>
    <t>+</t>
  </si>
  <si>
    <t>5b</t>
  </si>
  <si>
    <t>KMA1</t>
  </si>
  <si>
    <t>Korjattu menoaggregaatti 1</t>
  </si>
  <si>
    <t>KMA2</t>
  </si>
  <si>
    <t>Korjattu menoaggregaatti 2</t>
  </si>
  <si>
    <t>Menosääntö</t>
  </si>
  <si>
    <t>2012</t>
  </si>
  <si>
    <t>2013</t>
  </si>
  <si>
    <t>2016e</t>
  </si>
  <si>
    <t>2017f</t>
  </si>
  <si>
    <t>2018f</t>
  </si>
  <si>
    <t>Menojen kasvu, %</t>
  </si>
  <si>
    <t>Poikkeama menosäännöstä</t>
  </si>
  <si>
    <t>Yhden vuoden poikkeama</t>
  </si>
  <si>
    <t>Kahden vuoden poikkeama</t>
  </si>
  <si>
    <t>Onko poikkeama merkittävä</t>
  </si>
  <si>
    <t>Jos ei MTO:ssa</t>
  </si>
  <si>
    <t>Jos MTO:ssa</t>
  </si>
  <si>
    <t>Menojen kasvuasteen ja menosäännön välinen erotus</t>
  </si>
  <si>
    <t>Onko poikkeama merkittavä</t>
  </si>
  <si>
    <t>Kyllä =1, Ei=0</t>
  </si>
  <si>
    <t>Menosäännön mukaisten menojen reaalinen kasvu ja Suomen menosääntövuosina 2012 – 2018f</t>
  </si>
  <si>
    <t>Menojen kasvu</t>
  </si>
  <si>
    <t>Sääntö</t>
  </si>
  <si>
    <t>Ennaltaehkäisevän osa</t>
  </si>
  <si>
    <t>Kyllä=1; Ei=0</t>
  </si>
  <si>
    <t>Tulos</t>
  </si>
  <si>
    <t>Noudatettu=1, Poikkeama =0, Merkittävä poikkeama =-1</t>
  </si>
  <si>
    <t>Poikeama tavoitteesta</t>
  </si>
  <si>
    <t xml:space="preserve">Poikeama tavoitteesta </t>
  </si>
  <si>
    <t>Kokonaisvaltainen arvio</t>
  </si>
  <si>
    <t>Sopimusta noudatettu = 1; Noudattaminen osittaista = 0; Merkittävä poikkeama=-1</t>
  </si>
  <si>
    <t>Julkisen sektroin jäämä (EDP) suhteessa BKT:hen, %</t>
  </si>
  <si>
    <t>Julkisen sektroin jäämä (EDP) suhteessa BKT:hen</t>
  </si>
  <si>
    <t>Velan taso suhteessa BKT:hen</t>
  </si>
  <si>
    <t xml:space="preserve">Velka yli 60 % suhteessa BKT:hen </t>
  </si>
  <si>
    <t>Velan vähenemisehdon asettama tavoitetaso velalle</t>
  </si>
  <si>
    <t>Velka &lt; edellä asetettu tavoitetaso</t>
  </si>
  <si>
    <t xml:space="preserve">Suhdannekorjattuvelka </t>
  </si>
  <si>
    <t>Korjattu velka alle velan vähenemisehdon asettaman tavoitetason</t>
  </si>
  <si>
    <t>Onko velkasääntöä noudattettu?</t>
  </si>
  <si>
    <t>Onko velkasääntöä noudatettu</t>
  </si>
  <si>
    <t>1.Rakenteellisen jäämän muutos tavoite</t>
  </si>
  <si>
    <t>a)  VM</t>
  </si>
  <si>
    <t>b) Komissio</t>
  </si>
  <si>
    <t>2. Rakenteellisen jäämän muutostavoitteen saavuttaminen</t>
  </si>
  <si>
    <t>a) VM</t>
  </si>
  <si>
    <t>3. Menosäännön menojen laskenta</t>
  </si>
  <si>
    <t>4. Menosääntö</t>
  </si>
  <si>
    <t>5. Kokonaisvaltainen arvio</t>
  </si>
  <si>
    <t>6. EDP-jäämä</t>
  </si>
  <si>
    <t>7. EDP-velka sääntö,VM</t>
  </si>
  <si>
    <t>1. a)Rakenteellisen jäämän muutostavoite, VM</t>
  </si>
  <si>
    <t>1. b)Rakenteellisen jäämän muutostavoite, Komissio</t>
  </si>
  <si>
    <t>2. a) Rakenteellisen jäämän muutostavoitteen saavuttaminen, VM</t>
  </si>
  <si>
    <t>2. b) Rakenteellisen jäämän muutostavoitteen saavuttaminen, Komissio</t>
  </si>
  <si>
    <t>3. Menosääntöön liittyvien menojen laskenta</t>
  </si>
  <si>
    <t>7. EDP-velkasääntö, VM</t>
  </si>
  <si>
    <t>lähentymismarginaali, muuttuva (laskutapa 1)</t>
  </si>
  <si>
    <t>Menot ilman korkomenoja</t>
  </si>
  <si>
    <t>Onko Mto ylisaavutettu periodin lopussa</t>
  </si>
  <si>
    <t>Kyllä=1, Ei=1</t>
  </si>
  <si>
    <t>Onko MTO ylisaavutettu</t>
  </si>
  <si>
    <t>Kyllä=1; Ei=1</t>
  </si>
  <si>
    <t>Tuotantokuilun raja-arvot ja rakenteellisen jäämän muutostavoitteet</t>
  </si>
  <si>
    <t>muutostavoite</t>
  </si>
  <si>
    <t>Tuotantokuilun raja-arvot</t>
  </si>
  <si>
    <t>2. kriteeri: taaksepäin katosva sääntö</t>
  </si>
  <si>
    <t>3. kritteri osa a): eteenpäin katsova sääntö</t>
  </si>
  <si>
    <t>Tässä työkirjassa on VTV keväällä 2014 suorittaman vakaus- ja kasvusopimuksen tarkastuksen aineistot ja laskelmat.</t>
  </si>
  <si>
    <t>Tarkastuksen tulokset on raportoitu Valtiontalouden tarkastusviraston eduskunnalle annettavat kertomukset K 15/2014 vp: Valtiotalouden tarkastusviraston erilliskertomus eduskunnalle: Finanssipolitiikan tarkastuksen ja valvonnan raportti 2014.</t>
  </si>
  <si>
    <t>Työkirja koostuu seuraavasti</t>
  </si>
  <si>
    <t>Värikoodi</t>
  </si>
  <si>
    <t>Selitys</t>
  </si>
  <si>
    <t>Raporttien taulukot ja kuviot</t>
  </si>
  <si>
    <t>Korjaavan osan laskelmat ja aineistot</t>
  </si>
  <si>
    <t>Ennaltaehkäisevän osan kokonaisvaltainen arvio</t>
  </si>
  <si>
    <t>Menosääntöön liittyvät aineistot ja laskelmat</t>
  </si>
  <si>
    <t>Rakenteelliseen jäämään ja potentiaalisen tuotantoon liittyvät aineistot ja laskelmat</t>
  </si>
  <si>
    <t>s-posti: tomi.kortela@vtv.fi</t>
  </si>
  <si>
    <t>puh: 050 509 8793</t>
  </si>
  <si>
    <t>Johtava finanssipolitiikan tarkastaja, Tomi Kortela</t>
  </si>
  <si>
    <t>Lisätietoja antaa:</t>
  </si>
  <si>
    <t>Taulukot sisältävät VTV:n laskelmia, jotka perustuvat sekä VM:n että komission aineistoihin. Taulukon yläpuolella oleva otsikko kertoo kumman instituution aineistoista on kysymys.</t>
  </si>
  <si>
    <t>Suhde BKT:hen</t>
  </si>
  <si>
    <t>Suhde BKT:hen,</t>
  </si>
  <si>
    <t>Tulosten toistaminen</t>
  </si>
  <si>
    <t>Syöttämällä NAWRU:n laskenta ja kokonaistuottavuus välilehdilä olevat aineistot NAWRU:n ja kokonasituottavuuden trendin laskenta ohjelmiin saa tauluissa esitetty muuttujat NAWRU ja kokonaistuottavuuden trendi</t>
  </si>
  <si>
    <t>Potentiaalisen tuotannon laskemiseen tarvitaan  komission antamat potentiaalisen tuotannon laskenta ohjelmat, jotka löytyvät täältä: http://ec.europa.eu/economy_finance/economic_governance/sgp/data_methods/index_en.htm</t>
  </si>
  <si>
    <t>Muilta osin tämä työkirja toistaa VTV:n laskelmat ja osoittaa, miten VTV on tuloksiin päätynyt.</t>
  </si>
  <si>
    <t>Komission aineostot perusutvat komission talvi-ennusteeseen 2014 ja ovat saatavilla yllä mainitusta linkistä, josta myös potentiaalisen tuotannon laskentamenetelmät löytyvät tai AMECO-tietokannasta: http://ec.europa.eu/economy_finance/db_indicators/ameco/index_en.htm</t>
  </si>
  <si>
    <t>VM:n aineistot VTV on saanut valtiovarainministeriöstä. Aineistot pääsääntöisesti perustuvat seuraaviin julkaisuihin: Julkisantalouden suunnitelma vuosille 2014 -2018, Suomen vakausohjelma 2014 ja Taloudellinen katsaus,kevät 2014. Lisäksi osa luvuista on tilastokeskukselta.</t>
  </si>
  <si>
    <t>Huom! Vuodet 2011- 2018 VM:ltä, eivät saamat kuin potentiaalisen tuotannon laskennassa. Erot kuitenkin pienet.</t>
  </si>
  <si>
    <t>Erotus,%</t>
  </si>
  <si>
    <t>W(t)-W(t-1)</t>
  </si>
  <si>
    <t>S(t-1)</t>
  </si>
  <si>
    <t>W(t+1)</t>
  </si>
  <si>
    <t>Y(t-1)</t>
  </si>
  <si>
    <t>Y(t-2)</t>
  </si>
  <si>
    <t>Y((t)-Y(t-1))-(Y(t-1)-Y(t-2))</t>
  </si>
  <si>
    <t>Huom! Ainestot ovat vuoden 2013 ennakkotietoja ja siitä eteenpäin ennusteista.</t>
  </si>
  <si>
    <t>Laskentaohjelmissa komission käyttää lyhyen aikavälin ennustetta vuoteen 2015 saakka ja VM vuoteen 2016.</t>
  </si>
  <si>
    <t>Lisäksi VTV:n tulosten toistamiseen tarvitaan STATA-ohjelma, jonka saa VTV:ltä pyyntöä vastaan. Käytännössä samoihin tuloksiin päätyy, jos käyttää komission tarjoamaa RATS-koodia. Koodi on saatavilla edellä annetussa linkistä, josta löytyy potentiaalisen tuotannoon laskentaohjelmat.</t>
  </si>
  <si>
    <t>Lisäksi tuloksia on raportoitu kertomukseen liittyvässä tarkastusmuistiossa.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</si>
</sst>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43" formatCode="_-* #,##0.00\ _€_-;\-* #,##0.00\ _€_-;_-* &quot;-&quot;??\ _€_-;_-@_-"/>
    <numFmt numFmtId="164" formatCode="0.0"/>
    <numFmt numFmtId="165" formatCode="0.00000"/>
    <numFmt numFmtId="166" formatCode="0.0\ %"/>
    <numFmt numFmtId="167" formatCode="0.000000"/>
    <numFmt numFmtId="168" formatCode="0.00000000"/>
    <numFmt numFmtId="169" formatCode="0.000"/>
    <numFmt numFmtId="170" formatCode="0.0000000"/>
    <numFmt numFmtId="171" formatCode="0.0000\ %"/>
    <numFmt numFmtId="172" formatCode="0.0000"/>
    <numFmt numFmtId="173" formatCode="0.0000000000"/>
    <numFmt numFmtId="174" formatCode="0.00000\ %"/>
    <numFmt numFmtId="175" formatCode="0.000\ %"/>
    <numFmt numFmtId="176" formatCode="_-* #,##0.0000\ _€_-;\-* #,##0.0000\ _€_-;_-* &quot;-&quot;??\ _€_-;_-@_-"/>
    <numFmt numFmtId="177" formatCode="_-* #,##0.000000\ _€_-;\-* #,##0.000000\ _€_-;_-* &quot;-&quot;??\ _€_-;_-@_-"/>
    <numFmt numFmtId="178" formatCode="_-* #,##0.0\ _€_-;\-* #,##0.0\ _€_-;_-* &quot;-&quot;??\ _€_-;_-@_-"/>
    <numFmt numFmtId="179" formatCode="#,##0_ ;\-#,##0\ "/>
    <numFmt numFmtId="180" formatCode="#,##0.0_ ;\-#,##0.0\ "/>
    <numFmt numFmtId="181" formatCode="0.000000000000"/>
    <numFmt numFmtId="182" formatCode="0.0000000000\ %"/>
  </numFmts>
  <fonts count="51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8"/>
      <color theme="3"/>
      <name val="Arial"/>
      <family val="2"/>
      <scheme val="major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65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8"/>
      <name val="Verdan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sz val="12"/>
      <name val="Arial"/>
      <family val="2"/>
    </font>
    <font>
      <b/>
      <sz val="8"/>
      <name val="MS Sans Serif"/>
      <family val="2"/>
    </font>
    <font>
      <sz val="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8.5"/>
      <name val="MS Sans Serif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sz val="8"/>
      <color indexed="55"/>
      <name val="MS Sans Serif"/>
      <family val="2"/>
    </font>
    <font>
      <sz val="8"/>
      <name val="MS Sans Serif"/>
      <family val="2"/>
    </font>
    <font>
      <sz val="8"/>
      <name val="Helvetica"/>
      <family val="2"/>
    </font>
    <font>
      <sz val="10"/>
      <name val="Arial"/>
    </font>
    <font>
      <sz val="10"/>
      <color theme="1"/>
      <name val="Arial"/>
      <family val="2"/>
    </font>
    <font>
      <i/>
      <sz val="11"/>
      <color theme="1"/>
      <name val="Arial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8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1"/>
      <color theme="1"/>
      <name val="Arial"/>
      <family val="2"/>
      <scheme val="minor"/>
    </font>
  </fonts>
  <fills count="5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08">
    <xf numFmtId="0" fontId="0" fillId="0" borderId="0"/>
    <xf numFmtId="0" fontId="20" fillId="0" borderId="0" applyNumberFormat="0" applyFill="0" applyBorder="0" applyAlignment="0" applyProtection="0"/>
    <xf numFmtId="0" fontId="27" fillId="0" borderId="12">
      <protection locked="0"/>
    </xf>
    <xf numFmtId="0" fontId="18" fillId="37" borderId="0" applyNumberFormat="0" applyBorder="0" applyAlignment="0" applyProtection="0"/>
    <xf numFmtId="0" fontId="18" fillId="38" borderId="0" applyNumberFormat="0" applyBorder="0" applyAlignment="0" applyProtection="0"/>
    <xf numFmtId="0" fontId="18" fillId="45" borderId="0" applyNumberFormat="0" applyBorder="0" applyAlignment="0" applyProtection="0"/>
    <xf numFmtId="0" fontId="18" fillId="36" borderId="0" applyNumberFormat="0" applyBorder="0" applyAlignment="0" applyProtection="0"/>
    <xf numFmtId="0" fontId="18" fillId="35" borderId="0" applyNumberFormat="0" applyBorder="0" applyAlignment="0" applyProtection="0"/>
    <xf numFmtId="0" fontId="18" fillId="45" borderId="0" applyNumberFormat="0" applyBorder="0" applyAlignment="0" applyProtection="0"/>
    <xf numFmtId="0" fontId="18" fillId="35" borderId="0" applyNumberFormat="0" applyBorder="0" applyAlignment="0" applyProtection="0"/>
    <xf numFmtId="0" fontId="18" fillId="38" borderId="0" applyNumberFormat="0" applyBorder="0" applyAlignment="0" applyProtection="0"/>
    <xf numFmtId="0" fontId="18" fillId="44" borderId="0" applyNumberFormat="0" applyBorder="0" applyAlignment="0" applyProtection="0"/>
    <xf numFmtId="0" fontId="18" fillId="33" borderId="0" applyNumberFormat="0" applyBorder="0" applyAlignment="0" applyProtection="0"/>
    <xf numFmtId="0" fontId="18" fillId="35" borderId="0" applyNumberFormat="0" applyBorder="0" applyAlignment="0" applyProtection="0"/>
    <xf numFmtId="0" fontId="18" fillId="45" borderId="0" applyNumberFormat="0" applyBorder="0" applyAlignment="0" applyProtection="0"/>
    <xf numFmtId="0" fontId="19" fillId="35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33" borderId="0" applyNumberFormat="0" applyBorder="0" applyAlignment="0" applyProtection="0"/>
    <xf numFmtId="0" fontId="19" fillId="35" borderId="0" applyNumberFormat="0" applyBorder="0" applyAlignment="0" applyProtection="0"/>
    <xf numFmtId="0" fontId="19" fillId="38" borderId="0" applyNumberFormat="0" applyBorder="0" applyAlignment="0" applyProtection="0"/>
    <xf numFmtId="0" fontId="19" fillId="46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7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31" fillId="49" borderId="0" applyAlignment="0"/>
    <xf numFmtId="0" fontId="32" fillId="0" borderId="0">
      <alignment vertical="top"/>
    </xf>
    <xf numFmtId="0" fontId="33" fillId="0" borderId="14" applyBorder="0">
      <alignment horizontal="left" vertical="top"/>
    </xf>
    <xf numFmtId="0" fontId="20" fillId="45" borderId="12" applyNumberFormat="0" applyFont="0" applyAlignment="0" applyProtection="0"/>
    <xf numFmtId="0" fontId="21" fillId="34" borderId="0" applyNumberFormat="0" applyBorder="0" applyAlignment="0" applyProtection="0"/>
    <xf numFmtId="0" fontId="24" fillId="35" borderId="0" applyNumberFormat="0" applyBorder="0" applyAlignment="0" applyProtection="0"/>
    <xf numFmtId="0" fontId="37" fillId="0" borderId="0">
      <alignment vertical="top"/>
    </xf>
    <xf numFmtId="0" fontId="30" fillId="48" borderId="10" applyNumberFormat="0" applyAlignment="0" applyProtection="0"/>
    <xf numFmtId="0" fontId="29" fillId="0" borderId="18" applyNumberFormat="0" applyFill="0" applyAlignment="0" applyProtection="0"/>
    <xf numFmtId="0" fontId="38" fillId="44" borderId="0" applyNumberFormat="0" applyBorder="0" applyAlignment="0" applyProtection="0"/>
    <xf numFmtId="0" fontId="39" fillId="0" borderId="0" applyNumberFormat="0" applyFill="0" applyBorder="0" applyAlignment="0" applyProtection="0"/>
    <xf numFmtId="0" fontId="34" fillId="0" borderId="15" applyNumberFormat="0" applyFill="0" applyAlignment="0" applyProtection="0"/>
    <xf numFmtId="0" fontId="35" fillId="0" borderId="16" applyNumberFormat="0" applyFill="0" applyAlignment="0" applyProtection="0"/>
    <xf numFmtId="0" fontId="36" fillId="0" borderId="17" applyNumberFormat="0" applyFill="0" applyAlignment="0" applyProtection="0"/>
    <xf numFmtId="0" fontId="36" fillId="0" borderId="0" applyNumberFormat="0" applyFill="0" applyBorder="0" applyAlignment="0" applyProtection="0"/>
    <xf numFmtId="0" fontId="40" fillId="0" borderId="0" applyNumberFormat="0">
      <alignment horizontal="left" vertical="top" wrapText="1"/>
    </xf>
    <xf numFmtId="0" fontId="41" fillId="0" borderId="12" applyNumberFormat="0">
      <alignment horizontal="left" vertical="top" wrapText="1" shrinkToFit="1"/>
      <protection locked="0"/>
    </xf>
    <xf numFmtId="0" fontId="23" fillId="0" borderId="0" applyNumberFormat="0" applyFill="0" applyBorder="0" applyAlignment="0" applyProtection="0"/>
    <xf numFmtId="0" fontId="42" fillId="0" borderId="0"/>
    <xf numFmtId="0" fontId="28" fillId="0" borderId="19" applyNumberFormat="0" applyFill="0" applyAlignment="0" applyProtection="0"/>
    <xf numFmtId="0" fontId="25" fillId="44" borderId="10" applyNumberFormat="0" applyAlignment="0" applyProtection="0"/>
    <xf numFmtId="0" fontId="22" fillId="43" borderId="11" applyNumberFormat="0" applyAlignment="0" applyProtection="0"/>
    <xf numFmtId="0" fontId="26" fillId="48" borderId="13" applyNumberFormat="0" applyAlignment="0" applyProtection="0"/>
    <xf numFmtId="0" fontId="29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9" fillId="5" borderId="4" applyNumberFormat="0" applyAlignment="0" applyProtection="0"/>
    <xf numFmtId="0" fontId="12" fillId="0" borderId="6" applyNumberFormat="0" applyFill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43" fillId="0" borderId="0"/>
    <xf numFmtId="9" fontId="1" fillId="0" borderId="0" applyFont="0" applyFill="0" applyBorder="0" applyAlignment="0" applyProtection="0"/>
    <xf numFmtId="0" fontId="20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7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20" fillId="0" borderId="0"/>
    <xf numFmtId="0" fontId="1" fillId="27" borderId="0" applyNumberFormat="0" applyBorder="0" applyAlignment="0" applyProtection="0"/>
  </cellStyleXfs>
  <cellXfs count="320">
    <xf numFmtId="0" fontId="0" fillId="0" borderId="0" xfId="0"/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/>
    <xf numFmtId="0" fontId="17" fillId="9" borderId="0" xfId="76"/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0" fillId="0" borderId="0" xfId="0" quotePrefix="1" applyAlignment="1">
      <alignment horizontal="center" wrapText="1"/>
    </xf>
    <xf numFmtId="2" fontId="0" fillId="0" borderId="0" xfId="0" applyNumberFormat="1" applyAlignment="1">
      <alignment horizontal="center"/>
    </xf>
    <xf numFmtId="0" fontId="20" fillId="0" borderId="0" xfId="52"/>
    <xf numFmtId="165" fontId="17" fillId="9" borderId="0" xfId="76" applyNumberFormat="1"/>
    <xf numFmtId="10" fontId="17" fillId="9" borderId="0" xfId="76" applyNumberFormat="1"/>
    <xf numFmtId="166" fontId="0" fillId="0" borderId="0" xfId="100" applyNumberFormat="1" applyFont="1" applyAlignment="1">
      <alignment horizontal="center"/>
    </xf>
    <xf numFmtId="2" fontId="0" fillId="0" borderId="0" xfId="0" applyNumberFormat="1" applyAlignment="1">
      <alignment horizontal="left"/>
    </xf>
    <xf numFmtId="16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166" fontId="18" fillId="37" borderId="0" xfId="3" applyNumberFormat="1" applyAlignment="1">
      <alignment horizontal="center"/>
    </xf>
    <xf numFmtId="1" fontId="0" fillId="0" borderId="0" xfId="0" applyNumberFormat="1" applyAlignment="1">
      <alignment horizontal="center"/>
    </xf>
    <xf numFmtId="2" fontId="0" fillId="0" borderId="0" xfId="0" applyNumberFormat="1" applyBorder="1" applyAlignment="1">
      <alignment horizontal="center"/>
    </xf>
    <xf numFmtId="2" fontId="18" fillId="45" borderId="0" xfId="5" applyNumberFormat="1" applyBorder="1" applyAlignment="1">
      <alignment horizontal="center"/>
    </xf>
    <xf numFmtId="2" fontId="0" fillId="0" borderId="20" xfId="0" applyNumberFormat="1" applyBorder="1" applyAlignment="1">
      <alignment horizontal="center"/>
    </xf>
    <xf numFmtId="0" fontId="0" fillId="0" borderId="0" xfId="0" applyBorder="1" applyAlignment="1">
      <alignment horizontal="left"/>
    </xf>
    <xf numFmtId="0" fontId="17" fillId="9" borderId="0" xfId="76" applyBorder="1"/>
    <xf numFmtId="0" fontId="0" fillId="0" borderId="0" xfId="0" applyBorder="1" applyAlignment="1">
      <alignment horizontal="center"/>
    </xf>
    <xf numFmtId="166" fontId="0" fillId="0" borderId="0" xfId="100" applyNumberFormat="1" applyFont="1" applyBorder="1" applyAlignment="1">
      <alignment horizontal="center"/>
    </xf>
    <xf numFmtId="0" fontId="0" fillId="0" borderId="20" xfId="0" applyBorder="1" applyAlignment="1">
      <alignment horizontal="left"/>
    </xf>
    <xf numFmtId="2" fontId="0" fillId="0" borderId="21" xfId="0" applyNumberFormat="1" applyBorder="1" applyAlignment="1">
      <alignment horizontal="center"/>
    </xf>
    <xf numFmtId="0" fontId="17" fillId="9" borderId="21" xfId="76" applyBorder="1"/>
    <xf numFmtId="0" fontId="0" fillId="0" borderId="21" xfId="0" applyBorder="1" applyAlignment="1">
      <alignment horizontal="center"/>
    </xf>
    <xf numFmtId="166" fontId="18" fillId="37" borderId="21" xfId="3" applyNumberFormat="1" applyBorder="1" applyAlignment="1">
      <alignment horizontal="center"/>
    </xf>
    <xf numFmtId="0" fontId="0" fillId="0" borderId="0" xfId="0" applyBorder="1"/>
    <xf numFmtId="0" fontId="0" fillId="0" borderId="21" xfId="0" applyBorder="1"/>
    <xf numFmtId="164" fontId="0" fillId="0" borderId="20" xfId="0" applyNumberFormat="1" applyBorder="1" applyAlignment="1">
      <alignment horizontal="center"/>
    </xf>
    <xf numFmtId="1" fontId="0" fillId="0" borderId="20" xfId="0" applyNumberFormat="1" applyBorder="1" applyAlignment="1">
      <alignment horizontal="center"/>
    </xf>
    <xf numFmtId="0" fontId="18" fillId="37" borderId="0" xfId="3"/>
    <xf numFmtId="1" fontId="18" fillId="37" borderId="0" xfId="3" applyNumberFormat="1" applyAlignment="1">
      <alignment horizontal="center"/>
    </xf>
    <xf numFmtId="1" fontId="18" fillId="37" borderId="20" xfId="3" applyNumberFormat="1" applyBorder="1" applyAlignment="1">
      <alignment horizontal="center"/>
    </xf>
    <xf numFmtId="0" fontId="0" fillId="0" borderId="0" xfId="0" applyAlignment="1"/>
    <xf numFmtId="0" fontId="0" fillId="0" borderId="21" xfId="0" applyBorder="1" applyAlignment="1"/>
    <xf numFmtId="1" fontId="0" fillId="0" borderId="21" xfId="0" applyNumberFormat="1" applyBorder="1" applyAlignment="1">
      <alignment horizontal="center"/>
    </xf>
    <xf numFmtId="164" fontId="0" fillId="0" borderId="21" xfId="0" applyNumberFormat="1" applyBorder="1" applyAlignment="1">
      <alignment horizontal="center"/>
    </xf>
    <xf numFmtId="1" fontId="18" fillId="37" borderId="21" xfId="3" applyNumberFormat="1" applyBorder="1" applyAlignment="1">
      <alignment horizontal="center"/>
    </xf>
    <xf numFmtId="2" fontId="18" fillId="45" borderId="0" xfId="8" applyNumberFormat="1" applyAlignment="1">
      <alignment horizontal="center"/>
    </xf>
    <xf numFmtId="0" fontId="18" fillId="45" borderId="0" xfId="5"/>
    <xf numFmtId="164" fontId="18" fillId="45" borderId="0" xfId="5" applyNumberFormat="1" applyAlignment="1">
      <alignment horizontal="center"/>
    </xf>
    <xf numFmtId="164" fontId="18" fillId="45" borderId="21" xfId="5" applyNumberFormat="1" applyBorder="1" applyAlignment="1">
      <alignment horizontal="center"/>
    </xf>
    <xf numFmtId="2" fontId="18" fillId="45" borderId="0" xfId="5" applyNumberFormat="1" applyAlignment="1">
      <alignment horizontal="center"/>
    </xf>
    <xf numFmtId="166" fontId="18" fillId="45" borderId="0" xfId="5" applyNumberFormat="1" applyAlignment="1">
      <alignment horizontal="center"/>
    </xf>
    <xf numFmtId="164" fontId="18" fillId="45" borderId="20" xfId="5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66" fontId="0" fillId="0" borderId="0" xfId="0" applyNumberFormat="1" applyAlignment="1">
      <alignment horizontal="center"/>
    </xf>
    <xf numFmtId="0" fontId="0" fillId="0" borderId="20" xfId="0" applyBorder="1" applyAlignment="1">
      <alignment horizontal="center"/>
    </xf>
    <xf numFmtId="166" fontId="0" fillId="0" borderId="21" xfId="0" applyNumberFormat="1" applyBorder="1"/>
    <xf numFmtId="164" fontId="18" fillId="37" borderId="0" xfId="3" applyNumberFormat="1" applyAlignment="1">
      <alignment horizontal="center"/>
    </xf>
    <xf numFmtId="2" fontId="18" fillId="37" borderId="0" xfId="3" applyNumberFormat="1" applyAlignment="1">
      <alignment horizontal="center"/>
    </xf>
    <xf numFmtId="2" fontId="18" fillId="37" borderId="20" xfId="3" applyNumberFormat="1" applyBorder="1" applyAlignment="1">
      <alignment horizontal="center"/>
    </xf>
    <xf numFmtId="166" fontId="0" fillId="0" borderId="20" xfId="100" applyNumberFormat="1" applyFont="1" applyBorder="1" applyAlignment="1">
      <alignment horizontal="center"/>
    </xf>
    <xf numFmtId="0" fontId="0" fillId="0" borderId="0" xfId="0" applyFont="1" applyAlignment="1" applyProtection="1">
      <alignment horizontal="center" wrapText="1"/>
      <protection locked="0"/>
    </xf>
    <xf numFmtId="0" fontId="1" fillId="0" borderId="0" xfId="0" applyFont="1" applyAlignment="1" applyProtection="1">
      <alignment horizontal="center" wrapText="1"/>
      <protection locked="0"/>
    </xf>
    <xf numFmtId="1" fontId="0" fillId="0" borderId="0" xfId="0" applyNumberFormat="1" applyBorder="1" applyAlignment="1">
      <alignment horizontal="center"/>
    </xf>
    <xf numFmtId="166" fontId="0" fillId="0" borderId="2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170" fontId="0" fillId="0" borderId="0" xfId="0" applyNumberFormat="1" applyAlignment="1">
      <alignment horizontal="center"/>
    </xf>
    <xf numFmtId="2" fontId="20" fillId="0" borderId="0" xfId="52" applyNumberFormat="1" applyAlignment="1">
      <alignment horizontal="center"/>
    </xf>
    <xf numFmtId="2" fontId="20" fillId="0" borderId="0" xfId="52" applyNumberFormat="1" applyBorder="1" applyAlignment="1">
      <alignment horizontal="center"/>
    </xf>
    <xf numFmtId="2" fontId="18" fillId="38" borderId="0" xfId="4" applyNumberFormat="1" applyAlignment="1">
      <alignment horizontal="center"/>
    </xf>
    <xf numFmtId="2" fontId="0" fillId="0" borderId="0" xfId="0" applyNumberFormat="1"/>
    <xf numFmtId="164" fontId="20" fillId="0" borderId="0" xfId="101" applyNumberFormat="1" applyBorder="1" applyAlignment="1" applyProtection="1">
      <alignment horizontal="center" vertical="center"/>
      <protection locked="0"/>
    </xf>
    <xf numFmtId="168" fontId="0" fillId="0" borderId="0" xfId="0" applyNumberFormat="1"/>
    <xf numFmtId="172" fontId="0" fillId="0" borderId="0" xfId="0" applyNumberFormat="1"/>
    <xf numFmtId="164" fontId="0" fillId="0" borderId="0" xfId="0" applyNumberFormat="1" applyBorder="1" applyAlignment="1">
      <alignment horizontal="center"/>
    </xf>
    <xf numFmtId="1" fontId="18" fillId="37" borderId="0" xfId="3" applyNumberFormat="1" applyBorder="1" applyAlignment="1">
      <alignment horizontal="center"/>
    </xf>
    <xf numFmtId="164" fontId="18" fillId="45" borderId="0" xfId="5" applyNumberFormat="1" applyBorder="1" applyAlignment="1">
      <alignment horizontal="center"/>
    </xf>
    <xf numFmtId="1" fontId="0" fillId="0" borderId="0" xfId="0" applyNumberFormat="1"/>
    <xf numFmtId="170" fontId="0" fillId="0" borderId="0" xfId="0" applyNumberFormat="1"/>
    <xf numFmtId="167" fontId="0" fillId="0" borderId="0" xfId="0" applyNumberFormat="1"/>
    <xf numFmtId="169" fontId="0" fillId="0" borderId="0" xfId="0" applyNumberFormat="1"/>
    <xf numFmtId="2" fontId="18" fillId="37" borderId="0" xfId="3" applyNumberFormat="1" applyBorder="1" applyAlignment="1">
      <alignment horizontal="center"/>
    </xf>
    <xf numFmtId="171" fontId="0" fillId="0" borderId="0" xfId="0" applyNumberFormat="1"/>
    <xf numFmtId="0" fontId="0" fillId="0" borderId="0" xfId="0" applyAlignment="1">
      <alignment horizontal="center"/>
    </xf>
    <xf numFmtId="172" fontId="0" fillId="0" borderId="0" xfId="0" applyNumberFormat="1" applyAlignment="1">
      <alignment horizontal="center"/>
    </xf>
    <xf numFmtId="173" fontId="0" fillId="0" borderId="0" xfId="0" applyNumberFormat="1" applyAlignment="1">
      <alignment horizontal="center"/>
    </xf>
    <xf numFmtId="0" fontId="39" fillId="0" borderId="0" xfId="37" applyAlignment="1">
      <alignment horizontal="center"/>
    </xf>
    <xf numFmtId="166" fontId="0" fillId="0" borderId="0" xfId="100" applyNumberFormat="1" applyFont="1"/>
    <xf numFmtId="174" fontId="0" fillId="0" borderId="0" xfId="100" applyNumberFormat="1" applyFont="1"/>
    <xf numFmtId="10" fontId="0" fillId="0" borderId="0" xfId="100" applyNumberFormat="1" applyFont="1" applyAlignment="1">
      <alignment horizontal="right"/>
    </xf>
    <xf numFmtId="0" fontId="39" fillId="0" borderId="0" xfId="37" applyAlignment="1">
      <alignment vertical="center"/>
    </xf>
    <xf numFmtId="166" fontId="0" fillId="0" borderId="0" xfId="0" applyNumberFormat="1" applyBorder="1" applyAlignment="1">
      <alignment horizontal="center"/>
    </xf>
    <xf numFmtId="0" fontId="0" fillId="0" borderId="0" xfId="0"/>
    <xf numFmtId="0" fontId="0" fillId="0" borderId="0" xfId="0" applyAlignment="1">
      <alignment horizontal="left"/>
    </xf>
    <xf numFmtId="10" fontId="0" fillId="0" borderId="0" xfId="100" applyNumberFormat="1" applyFont="1"/>
    <xf numFmtId="0" fontId="0" fillId="0" borderId="0" xfId="0" applyAlignment="1">
      <alignment horizontal="center"/>
    </xf>
    <xf numFmtId="166" fontId="0" fillId="0" borderId="0" xfId="100" applyNumberFormat="1" applyFont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Border="1" applyAlignment="1">
      <alignment horizontal="left"/>
    </xf>
    <xf numFmtId="0" fontId="17" fillId="9" borderId="0" xfId="76" applyBorder="1"/>
    <xf numFmtId="166" fontId="0" fillId="0" borderId="0" xfId="100" applyNumberFormat="1" applyFont="1" applyBorder="1" applyAlignment="1">
      <alignment horizontal="center"/>
    </xf>
    <xf numFmtId="0" fontId="0" fillId="0" borderId="21" xfId="0" applyBorder="1" applyAlignment="1">
      <alignment horizontal="left"/>
    </xf>
    <xf numFmtId="0" fontId="0" fillId="0" borderId="21" xfId="0" applyBorder="1" applyAlignment="1">
      <alignment horizontal="center"/>
    </xf>
    <xf numFmtId="166" fontId="0" fillId="0" borderId="21" xfId="100" applyNumberFormat="1" applyFont="1" applyBorder="1" applyAlignment="1">
      <alignment horizontal="center"/>
    </xf>
    <xf numFmtId="0" fontId="0" fillId="0" borderId="21" xfId="0" applyBorder="1"/>
    <xf numFmtId="10" fontId="0" fillId="0" borderId="0" xfId="100" applyNumberFormat="1" applyFont="1" applyAlignment="1">
      <alignment horizontal="center"/>
    </xf>
    <xf numFmtId="166" fontId="0" fillId="0" borderId="0" xfId="0" applyNumberFormat="1" applyAlignment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0" fillId="0" borderId="0" xfId="0" applyFont="1" applyAlignment="1" applyProtection="1">
      <alignment horizontal="center" wrapText="1"/>
      <protection locked="0"/>
    </xf>
    <xf numFmtId="166" fontId="0" fillId="0" borderId="0" xfId="100" applyNumberFormat="1" applyFont="1"/>
    <xf numFmtId="0" fontId="39" fillId="0" borderId="0" xfId="37" applyAlignment="1">
      <alignment horizontal="center"/>
    </xf>
    <xf numFmtId="10" fontId="0" fillId="0" borderId="0" xfId="0" applyNumberFormat="1" applyAlignment="1">
      <alignment horizontal="center"/>
    </xf>
    <xf numFmtId="166" fontId="0" fillId="50" borderId="0" xfId="100" applyNumberFormat="1" applyFont="1" applyFill="1" applyAlignment="1">
      <alignment horizontal="center"/>
    </xf>
    <xf numFmtId="0" fontId="0" fillId="50" borderId="0" xfId="0" applyFill="1" applyAlignment="1">
      <alignment horizontal="center"/>
    </xf>
    <xf numFmtId="10" fontId="0" fillId="50" borderId="0" xfId="100" applyNumberFormat="1" applyFont="1" applyFill="1" applyAlignment="1">
      <alignment horizontal="center"/>
    </xf>
    <xf numFmtId="10" fontId="0" fillId="50" borderId="0" xfId="0" applyNumberFormat="1" applyFill="1" applyAlignment="1">
      <alignment horizontal="center"/>
    </xf>
    <xf numFmtId="10" fontId="0" fillId="0" borderId="21" xfId="100" applyNumberFormat="1" applyFont="1" applyBorder="1" applyAlignment="1">
      <alignment horizontal="right"/>
    </xf>
    <xf numFmtId="166" fontId="0" fillId="0" borderId="21" xfId="100" applyNumberFormat="1" applyFont="1" applyBorder="1"/>
    <xf numFmtId="0" fontId="17" fillId="9" borderId="0" xfId="76" applyAlignment="1"/>
    <xf numFmtId="166" fontId="18" fillId="45" borderId="21" xfId="5" applyNumberFormat="1" applyBorder="1" applyAlignment="1">
      <alignment horizontal="center"/>
    </xf>
    <xf numFmtId="2" fontId="18" fillId="45" borderId="20" xfId="8" applyNumberFormat="1" applyBorder="1" applyAlignment="1">
      <alignment horizontal="center"/>
    </xf>
    <xf numFmtId="2" fontId="18" fillId="45" borderId="20" xfId="5" applyNumberFormat="1" applyBorder="1" applyAlignment="1">
      <alignment horizontal="center"/>
    </xf>
    <xf numFmtId="175" fontId="0" fillId="0" borderId="0" xfId="100" applyNumberFormat="1" applyFont="1"/>
    <xf numFmtId="171" fontId="0" fillId="0" borderId="0" xfId="100" applyNumberFormat="1" applyFont="1"/>
    <xf numFmtId="43" fontId="0" fillId="0" borderId="0" xfId="102" applyFont="1"/>
    <xf numFmtId="43" fontId="0" fillId="0" borderId="0" xfId="0" applyNumberFormat="1"/>
    <xf numFmtId="164" fontId="18" fillId="37" borderId="0" xfId="3" applyNumberFormat="1" applyBorder="1" applyAlignment="1">
      <alignment horizontal="center"/>
    </xf>
    <xf numFmtId="164" fontId="18" fillId="37" borderId="21" xfId="3" applyNumberFormat="1" applyBorder="1" applyAlignment="1">
      <alignment horizontal="center"/>
    </xf>
    <xf numFmtId="164" fontId="18" fillId="37" borderId="20" xfId="3" applyNumberFormat="1" applyBorder="1" applyAlignment="1">
      <alignment horizontal="center"/>
    </xf>
    <xf numFmtId="0" fontId="0" fillId="0" borderId="20" xfId="0" applyBorder="1"/>
    <xf numFmtId="165" fontId="0" fillId="0" borderId="0" xfId="0" applyNumberFormat="1"/>
    <xf numFmtId="176" fontId="0" fillId="0" borderId="0" xfId="102" applyNumberFormat="1" applyFont="1"/>
    <xf numFmtId="177" fontId="0" fillId="0" borderId="0" xfId="102" applyNumberFormat="1" applyFont="1"/>
    <xf numFmtId="165" fontId="0" fillId="0" borderId="0" xfId="0" applyNumberFormat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0" xfId="0" applyNumberFormat="1" applyBorder="1" applyAlignment="1">
      <alignment horizontal="center"/>
    </xf>
    <xf numFmtId="10" fontId="17" fillId="9" borderId="0" xfId="76" applyNumberFormat="1" applyBorder="1"/>
    <xf numFmtId="164" fontId="44" fillId="0" borderId="0" xfId="0" applyNumberFormat="1" applyFont="1" applyBorder="1" applyAlignment="1">
      <alignment horizontal="center" vertical="center" wrapText="1"/>
    </xf>
    <xf numFmtId="174" fontId="0" fillId="0" borderId="0" xfId="0" applyNumberFormat="1"/>
    <xf numFmtId="174" fontId="16" fillId="0" borderId="0" xfId="0" applyNumberFormat="1" applyFont="1"/>
    <xf numFmtId="165" fontId="44" fillId="0" borderId="0" xfId="0" applyNumberFormat="1" applyFont="1" applyBorder="1" applyAlignment="1">
      <alignment horizontal="center" vertical="center" wrapText="1"/>
    </xf>
    <xf numFmtId="0" fontId="0" fillId="0" borderId="0" xfId="0"/>
    <xf numFmtId="0" fontId="0" fillId="0" borderId="0" xfId="0" applyAlignment="1" applyProtection="1">
      <alignment horizontal="right"/>
      <protection locked="0"/>
    </xf>
    <xf numFmtId="0" fontId="0" fillId="0" borderId="0" xfId="0" applyFont="1" applyAlignment="1">
      <alignment horizontal="left"/>
    </xf>
    <xf numFmtId="43" fontId="0" fillId="0" borderId="0" xfId="102" applyFont="1" applyAlignment="1">
      <alignment horizontal="center"/>
    </xf>
    <xf numFmtId="0" fontId="17" fillId="9" borderId="0" xfId="103" applyAlignment="1">
      <alignment wrapText="1"/>
    </xf>
    <xf numFmtId="0" fontId="17" fillId="9" borderId="0" xfId="103"/>
    <xf numFmtId="0" fontId="17" fillId="9" borderId="21" xfId="103" applyBorder="1"/>
    <xf numFmtId="0" fontId="1" fillId="0" borderId="0" xfId="0" applyFont="1" applyAlignment="1" applyProtection="1">
      <alignment horizontal="left"/>
      <protection locked="0"/>
    </xf>
    <xf numFmtId="0" fontId="0" fillId="0" borderId="0" xfId="0" applyAlignment="1">
      <alignment horizontal="center"/>
    </xf>
    <xf numFmtId="0" fontId="17" fillId="9" borderId="21" xfId="103" applyBorder="1" applyAlignment="1">
      <alignment horizontal="center"/>
    </xf>
    <xf numFmtId="0" fontId="16" fillId="0" borderId="0" xfId="0" applyFont="1" applyAlignment="1">
      <alignment horizontal="center" wrapText="1"/>
    </xf>
    <xf numFmtId="0" fontId="16" fillId="0" borderId="0" xfId="0" applyFont="1" applyAlignment="1">
      <alignment horizontal="center"/>
    </xf>
    <xf numFmtId="0" fontId="1" fillId="11" borderId="0" xfId="104" applyAlignment="1">
      <alignment horizontal="center" wrapText="1"/>
    </xf>
    <xf numFmtId="0" fontId="1" fillId="11" borderId="0" xfId="104" applyAlignment="1">
      <alignment horizontal="center"/>
    </xf>
    <xf numFmtId="0" fontId="1" fillId="14" borderId="0" xfId="105"/>
    <xf numFmtId="0" fontId="1" fillId="11" borderId="21" xfId="104" applyBorder="1"/>
    <xf numFmtId="0" fontId="1" fillId="14" borderId="21" xfId="105" applyBorder="1"/>
    <xf numFmtId="1" fontId="1" fillId="11" borderId="0" xfId="104" applyNumberFormat="1" applyAlignment="1">
      <alignment horizontal="center"/>
    </xf>
    <xf numFmtId="0" fontId="1" fillId="11" borderId="0" xfId="104"/>
    <xf numFmtId="0" fontId="0" fillId="0" borderId="0" xfId="0" applyAlignment="1" applyProtection="1">
      <alignment horizontal="center"/>
      <protection locked="0"/>
    </xf>
    <xf numFmtId="178" fontId="0" fillId="0" borderId="0" xfId="102" applyNumberFormat="1" applyFont="1" applyAlignment="1"/>
    <xf numFmtId="0" fontId="1" fillId="14" borderId="0" xfId="105" applyAlignment="1">
      <alignment horizontal="center"/>
    </xf>
    <xf numFmtId="0" fontId="1" fillId="0" borderId="0" xfId="0" applyFont="1" applyBorder="1" applyAlignment="1" applyProtection="1">
      <alignment horizontal="left"/>
      <protection locked="0"/>
    </xf>
    <xf numFmtId="1" fontId="1" fillId="11" borderId="0" xfId="104" applyNumberFormat="1" applyBorder="1" applyAlignment="1">
      <alignment horizontal="center"/>
    </xf>
    <xf numFmtId="0" fontId="1" fillId="11" borderId="0" xfId="104" applyBorder="1" applyAlignment="1">
      <alignment horizontal="center"/>
    </xf>
    <xf numFmtId="0" fontId="1" fillId="11" borderId="0" xfId="104" applyBorder="1"/>
    <xf numFmtId="0" fontId="1" fillId="14" borderId="0" xfId="105" applyBorder="1"/>
    <xf numFmtId="0" fontId="17" fillId="9" borderId="0" xfId="103" applyBorder="1"/>
    <xf numFmtId="179" fontId="0" fillId="0" borderId="0" xfId="102" applyNumberFormat="1" applyFont="1" applyAlignment="1">
      <alignment horizontal="center"/>
    </xf>
    <xf numFmtId="9" fontId="0" fillId="0" borderId="0" xfId="100" applyFont="1" applyAlignment="1">
      <alignment horizontal="center"/>
    </xf>
    <xf numFmtId="179" fontId="0" fillId="50" borderId="0" xfId="102" applyNumberFormat="1" applyFont="1" applyFill="1" applyAlignment="1">
      <alignment horizontal="center"/>
    </xf>
    <xf numFmtId="179" fontId="0" fillId="0" borderId="21" xfId="102" applyNumberFormat="1" applyFont="1" applyBorder="1" applyAlignment="1">
      <alignment horizontal="center"/>
    </xf>
    <xf numFmtId="10" fontId="0" fillId="0" borderId="21" xfId="0" applyNumberFormat="1" applyBorder="1" applyAlignment="1">
      <alignment horizontal="center"/>
    </xf>
    <xf numFmtId="9" fontId="0" fillId="0" borderId="21" xfId="100" applyFont="1" applyBorder="1" applyAlignment="1">
      <alignment horizontal="center"/>
    </xf>
    <xf numFmtId="180" fontId="0" fillId="0" borderId="0" xfId="102" applyNumberFormat="1" applyFont="1" applyAlignment="1">
      <alignment horizontal="center"/>
    </xf>
    <xf numFmtId="0" fontId="0" fillId="0" borderId="0" xfId="0" applyAlignment="1">
      <alignment horizontal="center" wrapText="1"/>
    </xf>
    <xf numFmtId="166" fontId="44" fillId="0" borderId="0" xfId="100" applyNumberFormat="1" applyFont="1" applyAlignment="1">
      <alignment horizontal="center"/>
    </xf>
    <xf numFmtId="166" fontId="44" fillId="0" borderId="21" xfId="100" applyNumberFormat="1" applyFont="1" applyBorder="1" applyAlignment="1">
      <alignment horizontal="center"/>
    </xf>
    <xf numFmtId="166" fontId="0" fillId="0" borderId="0" xfId="0" applyNumberFormat="1"/>
    <xf numFmtId="166" fontId="44" fillId="0" borderId="20" xfId="100" applyNumberFormat="1" applyFont="1" applyBorder="1" applyAlignment="1">
      <alignment horizontal="center"/>
    </xf>
    <xf numFmtId="174" fontId="0" fillId="0" borderId="0" xfId="0" applyNumberFormat="1" applyAlignment="1">
      <alignment horizontal="center"/>
    </xf>
    <xf numFmtId="0" fontId="39" fillId="0" borderId="0" xfId="37" applyAlignment="1">
      <alignment horizontal="center"/>
    </xf>
    <xf numFmtId="0" fontId="39" fillId="0" borderId="0" xfId="37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wrapText="1"/>
    </xf>
    <xf numFmtId="2" fontId="0" fillId="0" borderId="0" xfId="0" applyNumberFormat="1" applyAlignment="1" applyProtection="1">
      <alignment horizontal="center"/>
      <protection locked="0"/>
    </xf>
    <xf numFmtId="0" fontId="39" fillId="0" borderId="0" xfId="37" applyAlignment="1">
      <alignment horizontal="center"/>
    </xf>
    <xf numFmtId="0" fontId="0" fillId="0" borderId="0" xfId="0" applyAlignment="1">
      <alignment horizontal="center" wrapText="1"/>
    </xf>
    <xf numFmtId="164" fontId="0" fillId="0" borderId="0" xfId="0" applyNumberFormat="1" applyAlignment="1" applyProtection="1">
      <alignment horizontal="right"/>
      <protection locked="0"/>
    </xf>
    <xf numFmtId="164" fontId="20" fillId="0" borderId="0" xfId="106" applyNumberFormat="1"/>
    <xf numFmtId="0" fontId="20" fillId="0" borderId="0" xfId="106"/>
    <xf numFmtId="169" fontId="20" fillId="0" borderId="0" xfId="106" applyNumberFormat="1"/>
    <xf numFmtId="167" fontId="20" fillId="0" borderId="0" xfId="106" applyNumberFormat="1"/>
    <xf numFmtId="181" fontId="0" fillId="0" borderId="0" xfId="0" applyNumberFormat="1" applyAlignment="1">
      <alignment horizontal="center"/>
    </xf>
    <xf numFmtId="172" fontId="18" fillId="45" borderId="21" xfId="5" applyNumberFormat="1" applyBorder="1" applyAlignment="1">
      <alignment horizontal="center"/>
    </xf>
    <xf numFmtId="2" fontId="18" fillId="45" borderId="0" xfId="8" applyNumberFormat="1" applyBorder="1" applyAlignment="1">
      <alignment horizontal="center"/>
    </xf>
    <xf numFmtId="172" fontId="18" fillId="45" borderId="0" xfId="5" applyNumberFormat="1" applyBorder="1" applyAlignment="1">
      <alignment horizontal="center"/>
    </xf>
    <xf numFmtId="2" fontId="0" fillId="0" borderId="0" xfId="0" applyNumberFormat="1" applyBorder="1" applyAlignment="1" applyProtection="1">
      <alignment horizontal="center"/>
      <protection locked="0"/>
    </xf>
    <xf numFmtId="0" fontId="0" fillId="0" borderId="21" xfId="0" applyFill="1" applyBorder="1" applyAlignment="1">
      <alignment horizontal="left"/>
    </xf>
    <xf numFmtId="166" fontId="18" fillId="45" borderId="0" xfId="5" applyNumberFormat="1" applyBorder="1" applyAlignment="1">
      <alignment horizontal="center"/>
    </xf>
    <xf numFmtId="166" fontId="18" fillId="37" borderId="0" xfId="3" applyNumberFormat="1" applyBorder="1" applyAlignment="1">
      <alignment horizontal="center"/>
    </xf>
    <xf numFmtId="165" fontId="17" fillId="9" borderId="0" xfId="76" applyNumberFormat="1" applyBorder="1"/>
    <xf numFmtId="168" fontId="0" fillId="0" borderId="0" xfId="0" applyNumberFormat="1" applyAlignment="1">
      <alignment horizontal="center"/>
    </xf>
    <xf numFmtId="182" fontId="0" fillId="0" borderId="0" xfId="100" applyNumberFormat="1" applyFont="1"/>
    <xf numFmtId="164" fontId="1" fillId="14" borderId="0" xfId="59" applyNumberFormat="1" applyAlignment="1">
      <alignment horizontal="center"/>
    </xf>
    <xf numFmtId="164" fontId="1" fillId="14" borderId="21" xfId="59" applyNumberFormat="1" applyBorder="1" applyAlignment="1">
      <alignment horizontal="center"/>
    </xf>
    <xf numFmtId="10" fontId="0" fillId="0" borderId="0" xfId="0" applyNumberFormat="1"/>
    <xf numFmtId="2" fontId="18" fillId="45" borderId="21" xfId="8" applyNumberFormat="1" applyBorder="1" applyAlignment="1">
      <alignment horizontal="center"/>
    </xf>
    <xf numFmtId="2" fontId="18" fillId="45" borderId="21" xfId="5" applyNumberFormat="1" applyBorder="1" applyAlignment="1">
      <alignment horizontal="center"/>
    </xf>
    <xf numFmtId="164" fontId="1" fillId="10" borderId="21" xfId="58" applyNumberFormat="1" applyBorder="1" applyAlignment="1">
      <alignment horizontal="center"/>
    </xf>
    <xf numFmtId="165" fontId="17" fillId="9" borderId="21" xfId="76" applyNumberFormat="1" applyBorder="1"/>
    <xf numFmtId="2" fontId="18" fillId="37" borderId="21" xfId="3" applyNumberFormat="1" applyBorder="1" applyAlignment="1">
      <alignment horizontal="center"/>
    </xf>
    <xf numFmtId="0" fontId="0" fillId="0" borderId="21" xfId="0" applyBorder="1" applyAlignment="1">
      <alignment horizontal="center" wrapText="1"/>
    </xf>
    <xf numFmtId="164" fontId="0" fillId="0" borderId="21" xfId="0" applyNumberFormat="1" applyBorder="1"/>
    <xf numFmtId="0" fontId="34" fillId="0" borderId="15" xfId="38"/>
    <xf numFmtId="164" fontId="1" fillId="10" borderId="0" xfId="58" applyNumberFormat="1" applyAlignment="1">
      <alignment horizontal="center"/>
    </xf>
    <xf numFmtId="2" fontId="0" fillId="0" borderId="21" xfId="0" applyNumberFormat="1" applyBorder="1"/>
    <xf numFmtId="172" fontId="0" fillId="0" borderId="21" xfId="0" applyNumberFormat="1" applyBorder="1" applyAlignment="1">
      <alignment horizontal="center"/>
    </xf>
    <xf numFmtId="0" fontId="16" fillId="0" borderId="0" xfId="0" applyFont="1"/>
    <xf numFmtId="10" fontId="0" fillId="0" borderId="21" xfId="100" applyNumberFormat="1" applyFont="1" applyBorder="1" applyAlignment="1">
      <alignment horizontal="center"/>
    </xf>
    <xf numFmtId="10" fontId="0" fillId="0" borderId="0" xfId="100" applyNumberFormat="1" applyFont="1" applyBorder="1" applyAlignment="1">
      <alignment horizontal="center"/>
    </xf>
    <xf numFmtId="0" fontId="48" fillId="0" borderId="22" xfId="0" applyFont="1" applyBorder="1"/>
    <xf numFmtId="0" fontId="48" fillId="0" borderId="20" xfId="0" applyFont="1" applyBorder="1"/>
    <xf numFmtId="0" fontId="48" fillId="0" borderId="20" xfId="0" applyFont="1" applyBorder="1" applyAlignment="1">
      <alignment horizontal="center"/>
    </xf>
    <xf numFmtId="0" fontId="48" fillId="0" borderId="0" xfId="0" applyFont="1"/>
    <xf numFmtId="0" fontId="48" fillId="0" borderId="0" xfId="0" applyFont="1" applyAlignment="1">
      <alignment wrapText="1"/>
    </xf>
    <xf numFmtId="164" fontId="48" fillId="0" borderId="0" xfId="0" applyNumberFormat="1" applyFont="1" applyAlignment="1">
      <alignment horizontal="center"/>
    </xf>
    <xf numFmtId="0" fontId="48" fillId="0" borderId="0" xfId="0" applyFont="1" applyAlignment="1">
      <alignment horizontal="left" wrapText="1"/>
    </xf>
    <xf numFmtId="0" fontId="48" fillId="0" borderId="0" xfId="0" applyFont="1" applyBorder="1" applyAlignment="1">
      <alignment horizontal="left" wrapText="1"/>
    </xf>
    <xf numFmtId="0" fontId="48" fillId="0" borderId="0" xfId="0" applyFont="1" applyBorder="1"/>
    <xf numFmtId="164" fontId="48" fillId="0" borderId="0" xfId="0" applyNumberFormat="1" applyFont="1" applyBorder="1" applyAlignment="1">
      <alignment horizontal="center"/>
    </xf>
    <xf numFmtId="0" fontId="48" fillId="0" borderId="21" xfId="0" applyFont="1" applyBorder="1" applyAlignment="1">
      <alignment horizontal="left" wrapText="1"/>
    </xf>
    <xf numFmtId="0" fontId="48" fillId="0" borderId="21" xfId="0" applyFont="1" applyBorder="1"/>
    <xf numFmtId="164" fontId="48" fillId="0" borderId="21" xfId="0" applyNumberFormat="1" applyFont="1" applyBorder="1" applyAlignment="1">
      <alignment horizontal="center"/>
    </xf>
    <xf numFmtId="0" fontId="48" fillId="0" borderId="0" xfId="0" applyFont="1" applyAlignment="1">
      <alignment wrapText="1"/>
    </xf>
    <xf numFmtId="0" fontId="0" fillId="0" borderId="22" xfId="0" applyBorder="1"/>
    <xf numFmtId="0" fontId="48" fillId="0" borderId="22" xfId="0" applyFont="1" applyBorder="1" applyAlignment="1">
      <alignment horizontal="center"/>
    </xf>
    <xf numFmtId="164" fontId="48" fillId="0" borderId="0" xfId="102" applyNumberFormat="1" applyFont="1" applyAlignment="1">
      <alignment horizontal="center"/>
    </xf>
    <xf numFmtId="164" fontId="48" fillId="0" borderId="0" xfId="100" applyNumberFormat="1" applyFont="1" applyAlignment="1">
      <alignment horizontal="center"/>
    </xf>
    <xf numFmtId="164" fontId="48" fillId="0" borderId="21" xfId="0" applyNumberFormat="1" applyFont="1" applyBorder="1"/>
    <xf numFmtId="0" fontId="39" fillId="0" borderId="0" xfId="37" applyBorder="1" applyAlignment="1">
      <alignment horizontal="center"/>
    </xf>
    <xf numFmtId="2" fontId="48" fillId="0" borderId="0" xfId="0" applyNumberFormat="1" applyFont="1" applyAlignment="1">
      <alignment horizontal="center"/>
    </xf>
    <xf numFmtId="0" fontId="48" fillId="0" borderId="0" xfId="0" applyFont="1" applyBorder="1" applyAlignment="1">
      <alignment horizontal="center"/>
    </xf>
    <xf numFmtId="0" fontId="0" fillId="0" borderId="0" xfId="0" applyFont="1" applyBorder="1"/>
    <xf numFmtId="0" fontId="0" fillId="0" borderId="0" xfId="0" applyFont="1" applyBorder="1" applyAlignment="1">
      <alignment wrapText="1"/>
    </xf>
    <xf numFmtId="0" fontId="0" fillId="0" borderId="0" xfId="0" applyFont="1" applyAlignment="1">
      <alignment horizontal="center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center" wrapText="1"/>
    </xf>
    <xf numFmtId="0" fontId="0" fillId="0" borderId="0" xfId="0" applyFont="1" applyBorder="1" applyAlignment="1">
      <alignment horizontal="center"/>
    </xf>
    <xf numFmtId="164" fontId="0" fillId="0" borderId="0" xfId="0" applyNumberFormat="1" applyFont="1" applyBorder="1" applyAlignment="1">
      <alignment horizontal="center"/>
    </xf>
    <xf numFmtId="0" fontId="0" fillId="0" borderId="0" xfId="0" applyFont="1"/>
    <xf numFmtId="0" fontId="49" fillId="0" borderId="0" xfId="0" applyFont="1" applyBorder="1"/>
    <xf numFmtId="0" fontId="49" fillId="0" borderId="0" xfId="0" applyFont="1" applyBorder="1" applyAlignment="1">
      <alignment horizontal="center"/>
    </xf>
    <xf numFmtId="164" fontId="48" fillId="27" borderId="0" xfId="107" applyNumberFormat="1" applyFont="1" applyAlignment="1">
      <alignment horizontal="center"/>
    </xf>
    <xf numFmtId="0" fontId="48" fillId="27" borderId="0" xfId="107" applyFont="1" applyBorder="1" applyAlignment="1">
      <alignment horizontal="center"/>
    </xf>
    <xf numFmtId="2" fontId="48" fillId="27" borderId="0" xfId="107" applyNumberFormat="1" applyFont="1" applyAlignment="1">
      <alignment horizontal="center"/>
    </xf>
    <xf numFmtId="164" fontId="48" fillId="27" borderId="0" xfId="107" applyNumberFormat="1" applyFont="1" applyAlignment="1">
      <alignment horizontal="center" wrapText="1"/>
    </xf>
    <xf numFmtId="164" fontId="48" fillId="0" borderId="0" xfId="0" applyNumberFormat="1" applyFont="1" applyAlignment="1">
      <alignment horizontal="center" wrapText="1"/>
    </xf>
    <xf numFmtId="0" fontId="48" fillId="0" borderId="21" xfId="0" applyFont="1" applyBorder="1" applyAlignment="1">
      <alignment wrapText="1"/>
    </xf>
    <xf numFmtId="164" fontId="48" fillId="27" borderId="21" xfId="107" applyNumberFormat="1" applyFont="1" applyBorder="1" applyAlignment="1">
      <alignment horizontal="center"/>
    </xf>
    <xf numFmtId="0" fontId="48" fillId="0" borderId="0" xfId="0" applyFont="1" applyFill="1" applyBorder="1" applyAlignment="1">
      <alignment wrapText="1"/>
    </xf>
    <xf numFmtId="0" fontId="48" fillId="0" borderId="0" xfId="0" applyFont="1" applyFill="1" applyBorder="1" applyAlignment="1">
      <alignment horizontal="left" wrapText="1"/>
    </xf>
    <xf numFmtId="0" fontId="48" fillId="0" borderId="0" xfId="0" applyFont="1" applyAlignment="1">
      <alignment horizontal="center"/>
    </xf>
    <xf numFmtId="164" fontId="48" fillId="27" borderId="0" xfId="107" applyNumberFormat="1" applyFont="1" applyBorder="1" applyAlignment="1">
      <alignment horizontal="center"/>
    </xf>
    <xf numFmtId="0" fontId="48" fillId="0" borderId="21" xfId="0" applyFont="1" applyBorder="1" applyAlignment="1">
      <alignment horizontal="center"/>
    </xf>
    <xf numFmtId="0" fontId="48" fillId="0" borderId="0" xfId="0" applyFont="1" applyAlignment="1">
      <alignment horizontal="center" wrapText="1"/>
    </xf>
    <xf numFmtId="0" fontId="48" fillId="27" borderId="0" xfId="107" applyFont="1" applyAlignment="1">
      <alignment horizontal="center" wrapText="1"/>
    </xf>
    <xf numFmtId="0" fontId="48" fillId="27" borderId="21" xfId="107" applyFont="1" applyBorder="1" applyAlignment="1">
      <alignment horizontal="center"/>
    </xf>
    <xf numFmtId="0" fontId="0" fillId="0" borderId="21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0" xfId="0" applyBorder="1" applyAlignment="1">
      <alignment wrapText="1"/>
    </xf>
    <xf numFmtId="166" fontId="0" fillId="0" borderId="0" xfId="100" applyNumberFormat="1" applyFont="1" applyFill="1" applyAlignment="1">
      <alignment horizontal="center"/>
    </xf>
    <xf numFmtId="37" fontId="0" fillId="0" borderId="0" xfId="102" applyNumberFormat="1" applyFont="1" applyAlignment="1">
      <alignment horizontal="center"/>
    </xf>
    <xf numFmtId="37" fontId="0" fillId="50" borderId="0" xfId="102" applyNumberFormat="1" applyFont="1" applyFill="1" applyAlignment="1">
      <alignment horizontal="center"/>
    </xf>
    <xf numFmtId="37" fontId="0" fillId="0" borderId="21" xfId="102" applyNumberFormat="1" applyFont="1" applyBorder="1" applyAlignment="1">
      <alignment horizontal="center"/>
    </xf>
    <xf numFmtId="1" fontId="0" fillId="50" borderId="0" xfId="100" applyNumberFormat="1" applyFont="1" applyFill="1" applyAlignment="1">
      <alignment horizontal="center"/>
    </xf>
    <xf numFmtId="1" fontId="0" fillId="0" borderId="0" xfId="100" applyNumberFormat="1" applyFont="1" applyFill="1" applyAlignment="1">
      <alignment horizontal="center"/>
    </xf>
    <xf numFmtId="1" fontId="0" fillId="0" borderId="21" xfId="100" applyNumberFormat="1" applyFont="1" applyFill="1" applyBorder="1" applyAlignment="1">
      <alignment horizontal="center"/>
    </xf>
    <xf numFmtId="37" fontId="0" fillId="0" borderId="0" xfId="102" applyNumberFormat="1" applyFont="1" applyBorder="1" applyAlignment="1">
      <alignment horizontal="center"/>
    </xf>
    <xf numFmtId="0" fontId="48" fillId="0" borderId="21" xfId="0" applyFont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49" fillId="0" borderId="0" xfId="0" applyFont="1" applyBorder="1" applyAlignment="1">
      <alignment horizontal="left"/>
    </xf>
    <xf numFmtId="0" fontId="49" fillId="0" borderId="21" xfId="0" applyFont="1" applyBorder="1" applyAlignment="1">
      <alignment horizontal="left"/>
    </xf>
    <xf numFmtId="0" fontId="0" fillId="0" borderId="0" xfId="0" applyFill="1" applyBorder="1" applyAlignment="1">
      <alignment horizontal="center" wrapText="1"/>
    </xf>
    <xf numFmtId="2" fontId="48" fillId="0" borderId="21" xfId="0" applyNumberFormat="1" applyFont="1" applyBorder="1" applyAlignment="1">
      <alignment horizontal="center"/>
    </xf>
    <xf numFmtId="0" fontId="48" fillId="0" borderId="0" xfId="0" applyFont="1" applyBorder="1" applyAlignment="1">
      <alignment wrapText="1"/>
    </xf>
    <xf numFmtId="2" fontId="48" fillId="0" borderId="0" xfId="0" applyNumberFormat="1" applyFont="1" applyBorder="1" applyAlignment="1">
      <alignment horizontal="center"/>
    </xf>
    <xf numFmtId="0" fontId="48" fillId="0" borderId="21" xfId="0" applyFont="1" applyFill="1" applyBorder="1" applyAlignment="1">
      <alignment wrapText="1"/>
    </xf>
    <xf numFmtId="0" fontId="0" fillId="14" borderId="0" xfId="105" applyFont="1" applyAlignment="1">
      <alignment horizontal="center" wrapText="1"/>
    </xf>
    <xf numFmtId="0" fontId="0" fillId="0" borderId="0" xfId="0" applyAlignment="1">
      <alignment horizontal="center" wrapText="1"/>
    </xf>
    <xf numFmtId="0" fontId="48" fillId="0" borderId="0" xfId="0" applyFont="1" applyAlignment="1">
      <alignment wrapText="1"/>
    </xf>
    <xf numFmtId="0" fontId="48" fillId="0" borderId="23" xfId="0" applyFont="1" applyBorder="1" applyAlignment="1">
      <alignment wrapText="1"/>
    </xf>
    <xf numFmtId="164" fontId="48" fillId="0" borderId="0" xfId="0" applyNumberFormat="1" applyFont="1" applyBorder="1" applyAlignment="1">
      <alignment horizontal="center"/>
    </xf>
    <xf numFmtId="0" fontId="0" fillId="0" borderId="0" xfId="0" applyAlignment="1">
      <alignment horizontal="center" wrapText="1"/>
    </xf>
    <xf numFmtId="164" fontId="0" fillId="0" borderId="0" xfId="0" applyNumberFormat="1" applyBorder="1" applyAlignment="1">
      <alignment horizontal="center" wrapText="1"/>
    </xf>
    <xf numFmtId="164" fontId="0" fillId="0" borderId="21" xfId="0" applyNumberFormat="1" applyBorder="1" applyAlignment="1">
      <alignment horizontal="center" wrapText="1"/>
    </xf>
    <xf numFmtId="0" fontId="50" fillId="0" borderId="0" xfId="0" applyFont="1"/>
    <xf numFmtId="166" fontId="0" fillId="0" borderId="21" xfId="100" applyNumberFormat="1" applyFont="1" applyBorder="1" applyAlignment="1">
      <alignment horizontal="center" wrapText="1"/>
    </xf>
    <xf numFmtId="0" fontId="1" fillId="14" borderId="0" xfId="59" applyAlignment="1">
      <alignment horizontal="center"/>
    </xf>
    <xf numFmtId="0" fontId="0" fillId="51" borderId="0" xfId="0" applyFill="1"/>
    <xf numFmtId="0" fontId="0" fillId="52" borderId="0" xfId="0" applyFill="1"/>
    <xf numFmtId="0" fontId="0" fillId="50" borderId="0" xfId="0" applyFill="1"/>
    <xf numFmtId="0" fontId="0" fillId="53" borderId="0" xfId="0" applyFill="1"/>
    <xf numFmtId="0" fontId="0" fillId="54" borderId="0" xfId="0" applyFill="1"/>
    <xf numFmtId="0" fontId="36" fillId="0" borderId="20" xfId="41" applyFill="1" applyBorder="1" applyAlignment="1">
      <alignment horizontal="center" wrapText="1"/>
    </xf>
    <xf numFmtId="164" fontId="48" fillId="0" borderId="24" xfId="0" applyNumberFormat="1" applyFont="1" applyBorder="1" applyAlignment="1">
      <alignment horizontal="center"/>
    </xf>
    <xf numFmtId="2" fontId="48" fillId="0" borderId="0" xfId="0" applyNumberFormat="1" applyFont="1" applyAlignment="1">
      <alignment horizontal="center"/>
    </xf>
    <xf numFmtId="0" fontId="39" fillId="0" borderId="0" xfId="37" applyAlignment="1">
      <alignment horizontal="center"/>
    </xf>
    <xf numFmtId="0" fontId="39" fillId="0" borderId="0" xfId="37" applyBorder="1" applyAlignment="1">
      <alignment horizontal="center"/>
    </xf>
    <xf numFmtId="0" fontId="48" fillId="0" borderId="0" xfId="0" applyFont="1" applyAlignment="1">
      <alignment wrapText="1"/>
    </xf>
    <xf numFmtId="164" fontId="48" fillId="0" borderId="0" xfId="0" applyNumberFormat="1" applyFont="1" applyBorder="1" applyAlignment="1">
      <alignment horizontal="center"/>
    </xf>
    <xf numFmtId="2" fontId="48" fillId="0" borderId="0" xfId="0" applyNumberFormat="1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center" wrapText="1"/>
    </xf>
    <xf numFmtId="0" fontId="36" fillId="0" borderId="20" xfId="41" applyBorder="1" applyAlignment="1">
      <alignment horizontal="center"/>
    </xf>
    <xf numFmtId="0" fontId="0" fillId="0" borderId="0" xfId="0" applyAlignment="1">
      <alignment horizontal="center" wrapText="1"/>
    </xf>
    <xf numFmtId="0" fontId="39" fillId="0" borderId="0" xfId="37" applyAlignment="1">
      <alignment vertical="center"/>
    </xf>
    <xf numFmtId="0" fontId="39" fillId="0" borderId="0" xfId="37" applyAlignment="1">
      <alignment horizontal="center" vertical="center"/>
    </xf>
    <xf numFmtId="0" fontId="39" fillId="0" borderId="0" xfId="37" applyAlignment="1">
      <alignment horizontal="center" wrapText="1"/>
    </xf>
  </cellXfs>
  <cellStyles count="108">
    <cellStyle name="20 % - Aksentti1 2" xfId="3"/>
    <cellStyle name="20 % - Aksentti2" xfId="105" builtinId="34"/>
    <cellStyle name="20 % - Aksentti2 2" xfId="4"/>
    <cellStyle name="20 % - Aksentti3 2" xfId="5"/>
    <cellStyle name="20 % - Aksentti4 2" xfId="6"/>
    <cellStyle name="20 % - Aksentti5 2" xfId="7"/>
    <cellStyle name="20 % - Aksentti6 2" xfId="8"/>
    <cellStyle name="20% - Accent1" xfId="58"/>
    <cellStyle name="20% - Accent2" xfId="59"/>
    <cellStyle name="20% - Accent3" xfId="60"/>
    <cellStyle name="20% - Accent4" xfId="61"/>
    <cellStyle name="20% - Accent5" xfId="62"/>
    <cellStyle name="20% - Accent6" xfId="63"/>
    <cellStyle name="40 % - Aksentti1" xfId="104" builtinId="31"/>
    <cellStyle name="40 % - Aksentti1 2" xfId="9"/>
    <cellStyle name="40 % - Aksentti2 2" xfId="10"/>
    <cellStyle name="40 % - Aksentti3 2" xfId="11"/>
    <cellStyle name="40 % - Aksentti4 2" xfId="12"/>
    <cellStyle name="40 % - Aksentti5" xfId="107" builtinId="47"/>
    <cellStyle name="40 % - Aksentti5 2" xfId="13"/>
    <cellStyle name="40 % - Aksentti6 2" xfId="14"/>
    <cellStyle name="40% - Accent1" xfId="64"/>
    <cellStyle name="40% - Accent2" xfId="65"/>
    <cellStyle name="40% - Accent3" xfId="66"/>
    <cellStyle name="40% - Accent4" xfId="67"/>
    <cellStyle name="40% - Accent5" xfId="68"/>
    <cellStyle name="40% - Accent6" xfId="69"/>
    <cellStyle name="60 % - Aksentti1 2" xfId="15"/>
    <cellStyle name="60 % - Aksentti2 2" xfId="16"/>
    <cellStyle name="60 % - Aksentti3 2" xfId="17"/>
    <cellStyle name="60 % - Aksentti4 2" xfId="18"/>
    <cellStyle name="60 % - Aksentti5 2" xfId="19"/>
    <cellStyle name="60 % - Aksentti6 2" xfId="20"/>
    <cellStyle name="60% - Accent1" xfId="70"/>
    <cellStyle name="60% - Accent2" xfId="71"/>
    <cellStyle name="60% - Accent3" xfId="72"/>
    <cellStyle name="60% - Accent4" xfId="73"/>
    <cellStyle name="60% - Accent5" xfId="74"/>
    <cellStyle name="60% - Accent6" xfId="75"/>
    <cellStyle name="Accent1" xfId="76"/>
    <cellStyle name="Accent2" xfId="77"/>
    <cellStyle name="Accent3" xfId="78"/>
    <cellStyle name="Accent4" xfId="79"/>
    <cellStyle name="Accent5" xfId="80"/>
    <cellStyle name="Accent6" xfId="81"/>
    <cellStyle name="Aksentti1" xfId="103" builtinId="29"/>
    <cellStyle name="Aksentti1 2" xfId="21"/>
    <cellStyle name="Aksentti2 2" xfId="22"/>
    <cellStyle name="Aksentti3 2" xfId="23"/>
    <cellStyle name="Aksentti4 2" xfId="24"/>
    <cellStyle name="Aksentti5 2" xfId="25"/>
    <cellStyle name="Aksentti6 2" xfId="26"/>
    <cellStyle name="ANCLAS,REZONES Y SUS PARTES,DE FUNDICION,DE HIERRO O DE ACERO" xfId="1"/>
    <cellStyle name="ANCLAS,REZONES Y SUS PARTES,DE FUNDICION,DE HIERRO O DE ACERO 2" xfId="56"/>
    <cellStyle name="Bad" xfId="82"/>
    <cellStyle name="Calculation" xfId="83"/>
    <cellStyle name="Check Cell" xfId="84"/>
    <cellStyle name="Explanatory Text" xfId="85"/>
    <cellStyle name="Good" xfId="86"/>
    <cellStyle name="Header1" xfId="27"/>
    <cellStyle name="Header2" xfId="28"/>
    <cellStyle name="Header3" xfId="29"/>
    <cellStyle name="Heading 1" xfId="87"/>
    <cellStyle name="Heading 2" xfId="88"/>
    <cellStyle name="Heading 3" xfId="89"/>
    <cellStyle name="Heading 4" xfId="90"/>
    <cellStyle name="Huomautus 2" xfId="30"/>
    <cellStyle name="Huono 2" xfId="31"/>
    <cellStyle name="Hyvä 2" xfId="32"/>
    <cellStyle name="Input" xfId="91"/>
    <cellStyle name="Label" xfId="33"/>
    <cellStyle name="Laskenta 2" xfId="34"/>
    <cellStyle name="Linked Cell" xfId="92"/>
    <cellStyle name="Linkitetty solu 2" xfId="35"/>
    <cellStyle name="Neutraali 2" xfId="36"/>
    <cellStyle name="Neutral" xfId="93"/>
    <cellStyle name="Normaali" xfId="0" builtinId="0"/>
    <cellStyle name="Normaali 10" xfId="106"/>
    <cellStyle name="Normaali 11" xfId="52"/>
    <cellStyle name="Normaali 2" xfId="57"/>
    <cellStyle name="Normaali 3" xfId="99"/>
    <cellStyle name="Normal 2" xfId="53"/>
    <cellStyle name="Normal 2 2" xfId="54"/>
    <cellStyle name="Normal 3" xfId="55"/>
    <cellStyle name="Normal_circa nairudata autumn11" xfId="51"/>
    <cellStyle name="Normal_seriesfi" xfId="101"/>
    <cellStyle name="Note" xfId="94"/>
    <cellStyle name="Otsikko 1 2" xfId="38"/>
    <cellStyle name="Otsikko 2 2" xfId="39"/>
    <cellStyle name="Otsikko 3 2" xfId="40"/>
    <cellStyle name="Otsikko 4 2" xfId="41"/>
    <cellStyle name="Otsikko 5" xfId="37"/>
    <cellStyle name="Output" xfId="95"/>
    <cellStyle name="Pilkku" xfId="102" builtinId="3"/>
    <cellStyle name="Prosenttia" xfId="100" builtinId="5"/>
    <cellStyle name="ReadOnlyData" xfId="42"/>
    <cellStyle name="ReadWriteData" xfId="43"/>
    <cellStyle name="ReadWriteValues" xfId="2"/>
    <cellStyle name="Selittävä teksti 2" xfId="44"/>
    <cellStyle name="Standard_9.01" xfId="45"/>
    <cellStyle name="Summa 2" xfId="46"/>
    <cellStyle name="Syöttö 2" xfId="47"/>
    <cellStyle name="Tarkistussolu 2" xfId="48"/>
    <cellStyle name="Title" xfId="96"/>
    <cellStyle name="Total" xfId="97"/>
    <cellStyle name="Tulostus 2" xfId="49"/>
    <cellStyle name="Warning Text" xfId="98"/>
    <cellStyle name="Varoitusteksti 2" xfId="5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Kuviot!$D$4</c:f>
              <c:strCache>
                <c:ptCount val="1"/>
                <c:pt idx="0">
                  <c:v>Menojen kasvu</c:v>
                </c:pt>
              </c:strCache>
            </c:strRef>
          </c:tx>
          <c:cat>
            <c:strRef>
              <c:f>Kuviot!$C$5:$C$11</c:f>
              <c:strCache>
                <c:ptCount val="7"/>
                <c:pt idx="0">
                  <c:v>2012</c:v>
                </c:pt>
                <c:pt idx="1">
                  <c:v>2013</c:v>
                </c:pt>
                <c:pt idx="2">
                  <c:v>2014e</c:v>
                </c:pt>
                <c:pt idx="3">
                  <c:v>2015e</c:v>
                </c:pt>
                <c:pt idx="4">
                  <c:v>2016e</c:v>
                </c:pt>
                <c:pt idx="5">
                  <c:v>2017f</c:v>
                </c:pt>
                <c:pt idx="6">
                  <c:v>2018f</c:v>
                </c:pt>
              </c:strCache>
            </c:strRef>
          </c:cat>
          <c:val>
            <c:numRef>
              <c:f>Kuviot!$D$5:$D$11</c:f>
              <c:numCache>
                <c:formatCode>0.0</c:formatCode>
                <c:ptCount val="7"/>
                <c:pt idx="0">
                  <c:v>1.5006271175367569</c:v>
                </c:pt>
                <c:pt idx="1">
                  <c:v>-0.40870423833037073</c:v>
                </c:pt>
                <c:pt idx="2">
                  <c:v>0.37696014030192959</c:v>
                </c:pt>
                <c:pt idx="3">
                  <c:v>-1.2110877792461006</c:v>
                </c:pt>
                <c:pt idx="4">
                  <c:v>0.39088452507745064</c:v>
                </c:pt>
                <c:pt idx="5">
                  <c:v>0.39642381813769223</c:v>
                </c:pt>
                <c:pt idx="6">
                  <c:v>1.189365848955859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Kuviot!$E$4</c:f>
              <c:strCache>
                <c:ptCount val="1"/>
                <c:pt idx="0">
                  <c:v>Jos ei MTO:ssa</c:v>
                </c:pt>
              </c:strCache>
            </c:strRef>
          </c:tx>
          <c:cat>
            <c:strRef>
              <c:f>Kuviot!$C$5:$C$11</c:f>
              <c:strCache>
                <c:ptCount val="7"/>
                <c:pt idx="0">
                  <c:v>2012</c:v>
                </c:pt>
                <c:pt idx="1">
                  <c:v>2013</c:v>
                </c:pt>
                <c:pt idx="2">
                  <c:v>2014e</c:v>
                </c:pt>
                <c:pt idx="3">
                  <c:v>2015e</c:v>
                </c:pt>
                <c:pt idx="4">
                  <c:v>2016e</c:v>
                </c:pt>
                <c:pt idx="5">
                  <c:v>2017f</c:v>
                </c:pt>
                <c:pt idx="6">
                  <c:v>2018f</c:v>
                </c:pt>
              </c:strCache>
            </c:strRef>
          </c:cat>
          <c:val>
            <c:numRef>
              <c:f>Kuviot!$E$5:$E$11</c:f>
              <c:numCache>
                <c:formatCode>0.0</c:formatCode>
                <c:ptCount val="7"/>
                <c:pt idx="0">
                  <c:v>0.49999999999999978</c:v>
                </c:pt>
                <c:pt idx="1">
                  <c:v>0.50005564663100199</c:v>
                </c:pt>
                <c:pt idx="2">
                  <c:v>-9.9944353368997846E-2</c:v>
                </c:pt>
                <c:pt idx="3">
                  <c:v>-9.9944353368997846E-2</c:v>
                </c:pt>
                <c:pt idx="4">
                  <c:v>-9.9944353368997846E-2</c:v>
                </c:pt>
                <c:pt idx="5">
                  <c:v>-0.55425648395378913</c:v>
                </c:pt>
                <c:pt idx="6">
                  <c:v>-0.55425648395378913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Kuviot!$F$4</c:f>
              <c:strCache>
                <c:ptCount val="1"/>
                <c:pt idx="0">
                  <c:v>Jos MTO:ssa</c:v>
                </c:pt>
              </c:strCache>
            </c:strRef>
          </c:tx>
          <c:cat>
            <c:strRef>
              <c:f>Kuviot!$C$5:$C$11</c:f>
              <c:strCache>
                <c:ptCount val="7"/>
                <c:pt idx="0">
                  <c:v>2012</c:v>
                </c:pt>
                <c:pt idx="1">
                  <c:v>2013</c:v>
                </c:pt>
                <c:pt idx="2">
                  <c:v>2014e</c:v>
                </c:pt>
                <c:pt idx="3">
                  <c:v>2015e</c:v>
                </c:pt>
                <c:pt idx="4">
                  <c:v>2016e</c:v>
                </c:pt>
                <c:pt idx="5">
                  <c:v>2017f</c:v>
                </c:pt>
                <c:pt idx="6">
                  <c:v>2018f</c:v>
                </c:pt>
              </c:strCache>
            </c:strRef>
          </c:cat>
          <c:val>
            <c:numRef>
              <c:f>Kuviot!$F$5:$F$11</c:f>
              <c:numCache>
                <c:formatCode>0.0</c:formatCode>
                <c:ptCount val="7"/>
                <c:pt idx="0">
                  <c:v>1.4</c:v>
                </c:pt>
                <c:pt idx="1">
                  <c:v>1.4</c:v>
                </c:pt>
                <c:pt idx="2">
                  <c:v>0.8</c:v>
                </c:pt>
                <c:pt idx="3">
                  <c:v>0.8</c:v>
                </c:pt>
                <c:pt idx="4">
                  <c:v>0.8</c:v>
                </c:pt>
                <c:pt idx="5">
                  <c:v>0.30614295419185361</c:v>
                </c:pt>
                <c:pt idx="6">
                  <c:v>0.30614295419185361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9953408"/>
        <c:axId val="69954944"/>
      </c:lineChart>
      <c:catAx>
        <c:axId val="69953408"/>
        <c:scaling>
          <c:orientation val="minMax"/>
        </c:scaling>
        <c:delete val="0"/>
        <c:axPos val="b"/>
        <c:majorTickMark val="out"/>
        <c:minorTickMark val="none"/>
        <c:tickLblPos val="nextTo"/>
        <c:crossAx val="69954944"/>
        <c:crosses val="autoZero"/>
        <c:auto val="1"/>
        <c:lblAlgn val="ctr"/>
        <c:lblOffset val="100"/>
        <c:noMultiLvlLbl val="0"/>
      </c:catAx>
      <c:valAx>
        <c:axId val="69954944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69953408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19049</xdr:colOff>
      <xdr:row>13</xdr:row>
      <xdr:rowOff>61912</xdr:rowOff>
    </xdr:from>
    <xdr:to>
      <xdr:col>7</xdr:col>
      <xdr:colOff>19049</xdr:colOff>
      <xdr:row>29</xdr:row>
      <xdr:rowOff>57150</xdr:rowOff>
    </xdr:to>
    <xdr:graphicFrame macro="">
      <xdr:nvGraphicFramePr>
        <xdr:cNvPr id="2" name="Kaavi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VTV_Teema">
  <a:themeElements>
    <a:clrScheme name="VTV_Teema">
      <a:dk1>
        <a:sysClr val="windowText" lastClr="000000"/>
      </a:dk1>
      <a:lt1>
        <a:sysClr val="window" lastClr="FFFFFF"/>
      </a:lt1>
      <a:dk2>
        <a:srgbClr val="000000"/>
      </a:dk2>
      <a:lt2>
        <a:srgbClr val="FFFFFF"/>
      </a:lt2>
      <a:accent1>
        <a:srgbClr val="0066A5"/>
      </a:accent1>
      <a:accent2>
        <a:srgbClr val="C0BEBD"/>
      </a:accent2>
      <a:accent3>
        <a:srgbClr val="D75008"/>
      </a:accent3>
      <a:accent4>
        <a:srgbClr val="891536"/>
      </a:accent4>
      <a:accent5>
        <a:srgbClr val="EBC25B"/>
      </a:accent5>
      <a:accent6>
        <a:srgbClr val="B096A4"/>
      </a:accent6>
      <a:hlink>
        <a:srgbClr val="0066A5"/>
      </a:hlink>
      <a:folHlink>
        <a:srgbClr val="D75008"/>
      </a:folHlink>
    </a:clrScheme>
    <a:fontScheme name="Office, klassinen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Muodikas">
      <a:fillStyleLst>
        <a:solidFill>
          <a:schemeClr val="phClr"/>
        </a:solidFill>
        <a:solidFill>
          <a:schemeClr val="phClr">
            <a:tint val="65000"/>
          </a:schemeClr>
        </a:solidFill>
        <a:solidFill>
          <a:schemeClr val="phClr">
            <a:shade val="80000"/>
            <a:satMod val="180000"/>
          </a:schemeClr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10795" cap="flat" cmpd="sng" algn="ctr">
          <a:solidFill>
            <a:schemeClr val="phClr"/>
          </a:solidFill>
          <a:prstDash val="solid"/>
        </a:ln>
        <a:ln w="17145" cap="flat" cmpd="sng" algn="ctr">
          <a:solidFill>
            <a:schemeClr val="phClr">
              <a:shade val="95000"/>
              <a:alpha val="50000"/>
              <a:satMod val="150000"/>
            </a:schemeClr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44450" dist="13970" dir="5400000" algn="ctr" rotWithShape="0">
              <a:srgbClr val="000000">
                <a:alpha val="45000"/>
              </a:srgbClr>
            </a:outerShdw>
          </a:effectLst>
          <a:scene3d>
            <a:camera prst="orthographicFront">
              <a:rot lat="0" lon="0" rev="0"/>
            </a:camera>
            <a:lightRig rig="twoPt" dir="tl"/>
          </a:scene3d>
          <a:sp3d prstMaterial="flat">
            <a:bevelT w="19050" h="31750" prst="coolSlant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2:D35"/>
  <sheetViews>
    <sheetView tabSelected="1" workbookViewId="0"/>
  </sheetViews>
  <sheetFormatPr defaultRowHeight="14.25" x14ac:dyDescent="0.2"/>
  <cols>
    <col min="2" max="2" width="4.125" customWidth="1"/>
  </cols>
  <sheetData>
    <row r="2" spans="1:3" ht="15" x14ac:dyDescent="0.25">
      <c r="A2" s="219" t="s">
        <v>423</v>
      </c>
    </row>
    <row r="4" spans="1:3" x14ac:dyDescent="0.2">
      <c r="A4" t="s">
        <v>424</v>
      </c>
    </row>
    <row r="5" spans="1:3" s="140" customFormat="1" x14ac:dyDescent="0.2">
      <c r="A5" s="140" t="s">
        <v>457</v>
      </c>
    </row>
    <row r="6" spans="1:3" s="140" customFormat="1" x14ac:dyDescent="0.2"/>
    <row r="7" spans="1:3" s="140" customFormat="1" x14ac:dyDescent="0.2">
      <c r="A7" s="297" t="s">
        <v>440</v>
      </c>
    </row>
    <row r="9" spans="1:3" x14ac:dyDescent="0.2">
      <c r="B9" t="s">
        <v>442</v>
      </c>
    </row>
    <row r="10" spans="1:3" s="140" customFormat="1" x14ac:dyDescent="0.2">
      <c r="C10" s="140" t="s">
        <v>441</v>
      </c>
    </row>
    <row r="11" spans="1:3" s="140" customFormat="1" x14ac:dyDescent="0.2">
      <c r="C11" t="s">
        <v>456</v>
      </c>
    </row>
    <row r="12" spans="1:3" x14ac:dyDescent="0.2">
      <c r="C12" s="140" t="s">
        <v>455</v>
      </c>
    </row>
    <row r="14" spans="1:3" s="140" customFormat="1" x14ac:dyDescent="0.2">
      <c r="B14" s="140" t="s">
        <v>443</v>
      </c>
    </row>
    <row r="16" spans="1:3" x14ac:dyDescent="0.2">
      <c r="A16" s="297" t="s">
        <v>425</v>
      </c>
    </row>
    <row r="18" spans="1:4" x14ac:dyDescent="0.2">
      <c r="B18" s="251" t="s">
        <v>426</v>
      </c>
      <c r="C18" s="251"/>
      <c r="D18" s="251" t="s">
        <v>427</v>
      </c>
    </row>
    <row r="19" spans="1:4" ht="5.25" customHeight="1" x14ac:dyDescent="0.2"/>
    <row r="20" spans="1:4" x14ac:dyDescent="0.2">
      <c r="B20" s="300"/>
      <c r="D20" t="s">
        <v>428</v>
      </c>
    </row>
    <row r="21" spans="1:4" x14ac:dyDescent="0.2">
      <c r="B21" s="301"/>
      <c r="D21" t="s">
        <v>429</v>
      </c>
    </row>
    <row r="22" spans="1:4" x14ac:dyDescent="0.2">
      <c r="B22" s="302"/>
      <c r="D22" t="s">
        <v>430</v>
      </c>
    </row>
    <row r="23" spans="1:4" x14ac:dyDescent="0.2">
      <c r="B23" s="303"/>
      <c r="D23" t="s">
        <v>431</v>
      </c>
    </row>
    <row r="24" spans="1:4" x14ac:dyDescent="0.2">
      <c r="B24" s="304"/>
      <c r="D24" t="s">
        <v>432</v>
      </c>
    </row>
    <row r="26" spans="1:4" x14ac:dyDescent="0.2">
      <c r="B26" t="s">
        <v>437</v>
      </c>
    </row>
    <row r="27" spans="1:4" x14ac:dyDescent="0.2">
      <c r="D27" t="s">
        <v>454</v>
      </c>
    </row>
    <row r="28" spans="1:4" x14ac:dyDescent="0.2">
      <c r="D28" t="s">
        <v>444</v>
      </c>
    </row>
    <row r="29" spans="1:4" x14ac:dyDescent="0.2">
      <c r="D29" t="s">
        <v>445</v>
      </c>
    </row>
    <row r="31" spans="1:4" x14ac:dyDescent="0.2">
      <c r="A31" s="297" t="s">
        <v>436</v>
      </c>
    </row>
    <row r="33" spans="1:1" x14ac:dyDescent="0.2">
      <c r="A33" t="s">
        <v>435</v>
      </c>
    </row>
    <row r="34" spans="1:1" x14ac:dyDescent="0.2">
      <c r="A34" t="s">
        <v>433</v>
      </c>
    </row>
    <row r="35" spans="1:1" x14ac:dyDescent="0.2">
      <c r="A35" t="s">
        <v>434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3:AX58"/>
  <sheetViews>
    <sheetView workbookViewId="0"/>
  </sheetViews>
  <sheetFormatPr defaultRowHeight="14.25" x14ac:dyDescent="0.2"/>
  <cols>
    <col min="1" max="1" width="17.625" customWidth="1"/>
    <col min="2" max="2" width="11" bestFit="1" customWidth="1"/>
    <col min="3" max="10" width="11.125" bestFit="1" customWidth="1"/>
    <col min="12" max="12" width="14.625" customWidth="1"/>
    <col min="23" max="23" width="19.5" customWidth="1"/>
    <col min="25" max="25" width="27.75" customWidth="1"/>
    <col min="26" max="30" width="11" bestFit="1" customWidth="1"/>
    <col min="31" max="31" width="10.375" bestFit="1" customWidth="1"/>
    <col min="32" max="32" width="16.125" customWidth="1"/>
    <col min="33" max="36" width="12" customWidth="1"/>
    <col min="37" max="37" width="14.375" customWidth="1"/>
    <col min="38" max="38" width="12" customWidth="1"/>
    <col min="41" max="41" width="14.75" customWidth="1"/>
  </cols>
  <sheetData>
    <row r="3" spans="1:50" ht="22.5" x14ac:dyDescent="0.3">
      <c r="A3" s="31"/>
      <c r="B3" s="309" t="s">
        <v>396</v>
      </c>
      <c r="C3" s="309"/>
      <c r="D3" s="309"/>
      <c r="E3" s="309"/>
      <c r="F3" s="309"/>
      <c r="G3" s="309"/>
      <c r="H3" s="309"/>
      <c r="I3" s="309"/>
      <c r="L3" s="308" t="s">
        <v>399</v>
      </c>
      <c r="M3" s="308"/>
      <c r="N3" s="308"/>
      <c r="O3" s="308"/>
      <c r="P3" s="308"/>
      <c r="Q3" s="308"/>
      <c r="R3" s="308"/>
      <c r="S3" s="308"/>
      <c r="T3" s="308"/>
    </row>
    <row r="4" spans="1:50" s="140" customFormat="1" ht="22.5" x14ac:dyDescent="0.3">
      <c r="A4" s="31"/>
      <c r="B4" s="241"/>
      <c r="C4" s="241"/>
      <c r="D4" s="241"/>
      <c r="E4" s="241"/>
      <c r="F4" s="241"/>
      <c r="G4" s="241"/>
      <c r="H4" s="241"/>
      <c r="I4" s="241"/>
      <c r="W4" s="308" t="s">
        <v>401</v>
      </c>
      <c r="X4" s="308"/>
      <c r="Y4" s="308"/>
      <c r="Z4" s="308"/>
      <c r="AA4" s="308"/>
      <c r="AB4" s="308"/>
      <c r="AC4" s="308"/>
    </row>
    <row r="5" spans="1:50" s="140" customFormat="1" ht="22.5" x14ac:dyDescent="0.3">
      <c r="A5" s="31"/>
      <c r="B5" s="241"/>
      <c r="C5" s="309" t="s">
        <v>397</v>
      </c>
      <c r="D5" s="309"/>
      <c r="E5" s="309"/>
      <c r="F5" s="309"/>
      <c r="G5" s="309"/>
      <c r="H5" s="241"/>
      <c r="I5" s="241"/>
      <c r="L5" s="308" t="s">
        <v>400</v>
      </c>
      <c r="M5" s="308"/>
      <c r="N5" s="308"/>
      <c r="O5" s="308"/>
      <c r="P5" s="308"/>
      <c r="Q5" s="308"/>
      <c r="R5" s="308"/>
      <c r="S5" s="308"/>
      <c r="T5" s="308"/>
    </row>
    <row r="6" spans="1:50" ht="15" thickBot="1" x14ac:dyDescent="0.25">
      <c r="A6" s="103"/>
      <c r="B6" s="103"/>
      <c r="C6" s="103"/>
      <c r="D6" s="103"/>
      <c r="E6" s="103"/>
      <c r="F6" s="103"/>
      <c r="G6" s="103"/>
      <c r="H6" s="103"/>
      <c r="I6" s="103"/>
      <c r="L6" s="140"/>
      <c r="M6" s="103"/>
      <c r="N6" s="103"/>
      <c r="O6" s="103"/>
      <c r="P6" s="103"/>
      <c r="Q6" s="103"/>
      <c r="R6" s="103"/>
      <c r="S6" s="103"/>
      <c r="T6" s="103"/>
    </row>
    <row r="7" spans="1:50" ht="27" customHeight="1" thickTop="1" thickBot="1" x14ac:dyDescent="0.35">
      <c r="A7" s="222"/>
      <c r="B7" s="223"/>
      <c r="C7" s="237">
        <v>2011</v>
      </c>
      <c r="D7" s="224">
        <v>2012</v>
      </c>
      <c r="E7" s="224">
        <v>2013</v>
      </c>
      <c r="F7" s="224">
        <v>2014</v>
      </c>
      <c r="G7" s="224">
        <v>2015</v>
      </c>
      <c r="H7" s="224">
        <v>2016</v>
      </c>
      <c r="I7" s="224">
        <v>2017</v>
      </c>
      <c r="L7" s="222"/>
      <c r="M7" s="223"/>
      <c r="N7" s="224">
        <v>2012</v>
      </c>
      <c r="O7" s="224">
        <v>2013</v>
      </c>
      <c r="P7" s="224">
        <v>2014</v>
      </c>
      <c r="Q7" s="224">
        <v>2015</v>
      </c>
      <c r="R7" s="224">
        <v>2016</v>
      </c>
      <c r="S7" s="224">
        <v>2017</v>
      </c>
      <c r="T7" s="224">
        <v>2018</v>
      </c>
      <c r="W7" s="103" t="s">
        <v>347</v>
      </c>
      <c r="X7" s="103"/>
      <c r="Y7" s="103"/>
      <c r="Z7" s="101">
        <v>2012</v>
      </c>
      <c r="AA7" s="101">
        <v>2013</v>
      </c>
      <c r="AB7" s="101" t="s">
        <v>348</v>
      </c>
      <c r="AC7" s="101" t="s">
        <v>349</v>
      </c>
      <c r="AO7" s="308" t="s">
        <v>404</v>
      </c>
      <c r="AP7" s="308"/>
      <c r="AQ7" s="308"/>
      <c r="AR7" s="308"/>
      <c r="AS7" s="308"/>
      <c r="AT7" s="308"/>
      <c r="AU7" s="308"/>
      <c r="AV7" s="308"/>
      <c r="AW7" s="308"/>
      <c r="AX7" s="308"/>
    </row>
    <row r="8" spans="1:50" ht="24" thickTop="1" thickBot="1" x14ac:dyDescent="0.35">
      <c r="A8" s="225"/>
      <c r="B8" s="225"/>
      <c r="C8" s="140"/>
      <c r="D8" s="225"/>
      <c r="E8" s="225"/>
      <c r="F8" s="225"/>
      <c r="G8" s="225"/>
      <c r="H8" s="225"/>
      <c r="I8" s="225"/>
      <c r="L8" s="230" t="s">
        <v>93</v>
      </c>
      <c r="M8" s="230"/>
      <c r="N8" s="227">
        <f t="array" ref="N8:T17">TRANSPOSE('Taulukkojen luonti'!C31:L37)</f>
        <v>-1.0408279729568541</v>
      </c>
      <c r="O8" s="254">
        <v>-0.53131610992601042</v>
      </c>
      <c r="P8" s="227">
        <v>-0.77084536635819234</v>
      </c>
      <c r="Q8" s="227">
        <v>-0.2124261747870578</v>
      </c>
      <c r="R8" s="227">
        <v>-0.19571231554127261</v>
      </c>
      <c r="S8" s="227">
        <v>2.8908046879630944E-2</v>
      </c>
      <c r="T8" s="227">
        <v>0.21195997201636335</v>
      </c>
      <c r="W8" s="140"/>
      <c r="X8" s="148">
        <v>1</v>
      </c>
      <c r="Y8" s="51" t="s">
        <v>253</v>
      </c>
      <c r="Z8" s="15">
        <f t="array" ref="Z8:AC17">TRANSPOSE('Taulukkojen luonti'!C57:L60)</f>
        <v>108.309</v>
      </c>
      <c r="AA8" s="15">
        <v>112.218</v>
      </c>
      <c r="AB8" s="15">
        <v>115.33775845828779</v>
      </c>
      <c r="AC8" s="15">
        <v>117.54910989029794</v>
      </c>
      <c r="AF8" s="308" t="s">
        <v>403</v>
      </c>
      <c r="AG8" s="308"/>
      <c r="AH8" s="308"/>
      <c r="AI8" s="308"/>
      <c r="AJ8" s="308"/>
      <c r="AK8" s="308"/>
      <c r="AL8" s="308"/>
      <c r="AO8" s="103"/>
      <c r="AP8" s="103"/>
      <c r="AQ8" s="103"/>
      <c r="AR8" s="103"/>
      <c r="AS8" s="103"/>
      <c r="AT8" s="103"/>
      <c r="AU8" s="103"/>
      <c r="AV8" s="103"/>
      <c r="AW8" s="103"/>
      <c r="AX8" s="103"/>
    </row>
    <row r="9" spans="1:50" ht="15.75" thickTop="1" thickBot="1" x14ac:dyDescent="0.25">
      <c r="A9" s="226" t="s">
        <v>320</v>
      </c>
      <c r="B9" s="226"/>
      <c r="C9" s="231">
        <f t="array" ref="C9:I18">TRANSPOSE('Taulukkojen luonti'!D6:M12)</f>
        <v>-0.61321306613362625</v>
      </c>
      <c r="D9" s="231">
        <v>-1.0408279729568541</v>
      </c>
      <c r="E9" s="231">
        <v>-0.53131610992601042</v>
      </c>
      <c r="F9" s="231">
        <v>-0.77084536635819234</v>
      </c>
      <c r="G9" s="231">
        <v>-0.2124261747870578</v>
      </c>
      <c r="H9" s="231">
        <v>-0.19571231554127261</v>
      </c>
      <c r="I9" s="231">
        <v>2.8908046879630944E-2</v>
      </c>
      <c r="L9" s="230" t="s">
        <v>109</v>
      </c>
      <c r="M9" s="230"/>
      <c r="N9" s="243">
        <v>0.5</v>
      </c>
      <c r="O9" s="255">
        <v>-0.5</v>
      </c>
      <c r="P9" s="243">
        <v>-0.5</v>
      </c>
      <c r="Q9" s="243">
        <v>-0.5</v>
      </c>
      <c r="R9" s="243">
        <v>-0.5</v>
      </c>
      <c r="S9" s="243">
        <v>-0.5</v>
      </c>
      <c r="T9" s="243">
        <v>-0.5</v>
      </c>
      <c r="W9" s="140" t="s">
        <v>350</v>
      </c>
      <c r="X9" s="148">
        <v>2</v>
      </c>
      <c r="Y9" s="51" t="s">
        <v>254</v>
      </c>
      <c r="Z9" s="15">
        <v>2.0139999999999998</v>
      </c>
      <c r="AA9" s="15">
        <v>1.84</v>
      </c>
      <c r="AB9" s="15">
        <v>1.9848749999999999</v>
      </c>
      <c r="AC9" s="15">
        <v>2.16357</v>
      </c>
      <c r="AO9" s="223"/>
      <c r="AP9" s="223"/>
      <c r="AQ9" s="224">
        <v>2011</v>
      </c>
      <c r="AR9" s="224">
        <v>2012</v>
      </c>
      <c r="AS9" s="224">
        <v>2013</v>
      </c>
      <c r="AT9" s="224">
        <v>2014</v>
      </c>
      <c r="AU9" s="224">
        <v>2015</v>
      </c>
      <c r="AV9" s="224">
        <v>2016</v>
      </c>
      <c r="AW9" s="224">
        <v>2017</v>
      </c>
      <c r="AX9" s="224">
        <v>2018</v>
      </c>
    </row>
    <row r="10" spans="1:50" ht="45" customHeight="1" thickTop="1" x14ac:dyDescent="0.2">
      <c r="A10" s="225" t="s">
        <v>321</v>
      </c>
      <c r="B10" s="225"/>
      <c r="C10" s="231">
        <v>0.5</v>
      </c>
      <c r="D10" s="231">
        <v>0.5</v>
      </c>
      <c r="E10" s="231">
        <v>-0.5</v>
      </c>
      <c r="F10" s="231">
        <v>-0.5</v>
      </c>
      <c r="G10" s="231">
        <v>-0.5</v>
      </c>
      <c r="H10" s="231">
        <v>-0.5</v>
      </c>
      <c r="I10" s="231">
        <v>-0.5</v>
      </c>
      <c r="L10" s="226" t="s">
        <v>340</v>
      </c>
      <c r="M10" s="226"/>
      <c r="N10" s="227" t="str">
        <v>Ei</v>
      </c>
      <c r="O10" s="254" t="str">
        <v>Kyllä</v>
      </c>
      <c r="P10" s="227" t="str">
        <v>Ei</v>
      </c>
      <c r="Q10" s="227" t="str">
        <v>Kyllä</v>
      </c>
      <c r="R10" s="227" t="str">
        <v>Kyllä</v>
      </c>
      <c r="S10" s="227" t="str">
        <v>Kyllä</v>
      </c>
      <c r="T10" s="227" t="str">
        <v>Kyllä</v>
      </c>
      <c r="W10" s="140" t="s">
        <v>350</v>
      </c>
      <c r="X10" s="148">
        <v>3</v>
      </c>
      <c r="Y10" s="51" t="s">
        <v>351</v>
      </c>
      <c r="Z10" s="15">
        <v>1.173</v>
      </c>
      <c r="AA10" s="15">
        <v>1.209357</v>
      </c>
      <c r="AB10" s="15">
        <v>0.90900000000000003</v>
      </c>
      <c r="AC10" s="15">
        <v>1.2590000000000001</v>
      </c>
      <c r="AF10" s="222" t="s">
        <v>377</v>
      </c>
      <c r="AG10" s="237">
        <v>2013</v>
      </c>
      <c r="AH10" s="237">
        <v>2014</v>
      </c>
      <c r="AI10" s="237">
        <v>2015</v>
      </c>
      <c r="AJ10" s="237">
        <v>2016</v>
      </c>
      <c r="AK10" s="237">
        <v>2017</v>
      </c>
      <c r="AL10" s="237">
        <v>2018</v>
      </c>
      <c r="AO10" s="235"/>
      <c r="AP10" s="235"/>
      <c r="AQ10" s="306" t="s">
        <v>59</v>
      </c>
      <c r="AR10" s="306"/>
      <c r="AS10" s="306"/>
      <c r="AT10" s="306"/>
      <c r="AU10" s="306"/>
      <c r="AV10" s="306"/>
      <c r="AW10" s="306"/>
      <c r="AX10" s="306"/>
    </row>
    <row r="11" spans="1:50" ht="45" customHeight="1" x14ac:dyDescent="0.2">
      <c r="A11" s="226" t="s">
        <v>322</v>
      </c>
      <c r="B11" s="225"/>
      <c r="C11" s="231">
        <v>-1.1132130661336261</v>
      </c>
      <c r="D11" s="231">
        <v>-1.5408279729568541</v>
      </c>
      <c r="E11" s="231">
        <v>-3.1316109926010374E-2</v>
      </c>
      <c r="F11" s="231">
        <v>-0.27084536635819234</v>
      </c>
      <c r="G11" s="231">
        <v>0.28757382521294222</v>
      </c>
      <c r="H11" s="231">
        <v>0.30428768445872739</v>
      </c>
      <c r="I11" s="231">
        <v>0.528908046879631</v>
      </c>
      <c r="L11" s="226" t="s">
        <v>341</v>
      </c>
      <c r="M11" s="225"/>
      <c r="N11" s="242">
        <v>0.5</v>
      </c>
      <c r="O11" s="256">
        <v>0.5</v>
      </c>
      <c r="P11" s="242">
        <v>0</v>
      </c>
      <c r="Q11" s="242">
        <v>0.1</v>
      </c>
      <c r="R11" s="242">
        <v>0</v>
      </c>
      <c r="S11" s="242">
        <v>0</v>
      </c>
      <c r="T11" s="242">
        <v>0</v>
      </c>
      <c r="W11" s="140" t="s">
        <v>350</v>
      </c>
      <c r="X11" s="148">
        <v>4</v>
      </c>
      <c r="Y11" s="51" t="s">
        <v>258</v>
      </c>
      <c r="Z11" s="15">
        <v>0.36372986318631739</v>
      </c>
      <c r="AA11" s="15">
        <v>0.58359890201131759</v>
      </c>
      <c r="AB11" s="15">
        <v>0.66121060962574896</v>
      </c>
      <c r="AC11" s="15">
        <v>0.55811853195734262</v>
      </c>
      <c r="AF11" s="226" t="s">
        <v>93</v>
      </c>
      <c r="AG11" s="266" t="str">
        <f t="array" ref="AG11:AL13">TRANSPOSE('Taulukkojen luonti'!C79:E84)</f>
        <v>Sääntöä noudatettu</v>
      </c>
      <c r="AH11" s="266" t="str">
        <v>Poikeama</v>
      </c>
      <c r="AI11" s="266" t="str">
        <v>Sääntöä noudatettu</v>
      </c>
      <c r="AJ11" s="266" t="str">
        <v>Sääntöä noudatettu</v>
      </c>
      <c r="AK11" s="266" t="str">
        <v>Sääntöä noudatettu</v>
      </c>
      <c r="AL11" s="266" t="str">
        <v>Sääntöä noudatettu</v>
      </c>
      <c r="AO11" s="235" t="s">
        <v>386</v>
      </c>
      <c r="AP11" s="225"/>
      <c r="AQ11" s="227">
        <f t="array" ref="AQ11:AX11">TRANSPOSE('Taulukkojen luonti'!D91:D98)</f>
        <v>-0.7184334</v>
      </c>
      <c r="AR11" s="227">
        <v>-1.8258383</v>
      </c>
      <c r="AS11" s="227">
        <v>-2.1122501201904402</v>
      </c>
      <c r="AT11" s="227">
        <v>-2.1484436126918931</v>
      </c>
      <c r="AU11" s="227">
        <v>-1.1839263979895391</v>
      </c>
      <c r="AV11" s="227">
        <v>-0.6344343824520059</v>
      </c>
      <c r="AW11" s="227">
        <v>-0.10500833901683675</v>
      </c>
      <c r="AX11" s="227">
        <v>0.1892966836114886</v>
      </c>
    </row>
    <row r="12" spans="1:50" ht="45" customHeight="1" x14ac:dyDescent="0.2">
      <c r="A12" s="226" t="s">
        <v>323</v>
      </c>
      <c r="B12" s="225"/>
      <c r="C12" s="231" t="str">
        <v>Ei</v>
      </c>
      <c r="D12" s="231" t="str">
        <v>Ei</v>
      </c>
      <c r="E12" s="231" t="str">
        <v>Kyllä</v>
      </c>
      <c r="F12" s="231" t="str">
        <v>Ei</v>
      </c>
      <c r="G12" s="231" t="str">
        <v>Kyllä</v>
      </c>
      <c r="H12" s="231" t="str">
        <v>Kyllä</v>
      </c>
      <c r="I12" s="231" t="str">
        <v>Kyllä</v>
      </c>
      <c r="L12" s="226" t="s">
        <v>342</v>
      </c>
      <c r="M12" s="225"/>
      <c r="N12" s="242">
        <v>-0.42761490682322784</v>
      </c>
      <c r="O12" s="256">
        <v>0.50951186303084361</v>
      </c>
      <c r="P12" s="242">
        <v>-0.23952925643218195</v>
      </c>
      <c r="Q12" s="242">
        <v>0.55841919157113462</v>
      </c>
      <c r="R12" s="242">
        <v>1.6713859245785216E-2</v>
      </c>
      <c r="S12" s="242">
        <v>0.22462036242090355</v>
      </c>
      <c r="T12" s="242">
        <v>0.18305192513673241</v>
      </c>
      <c r="W12" s="140" t="s">
        <v>350</v>
      </c>
      <c r="X12" s="148" t="s">
        <v>352</v>
      </c>
      <c r="Y12" s="51" t="s">
        <v>255</v>
      </c>
      <c r="Z12" s="15">
        <v>5.0259999999999998</v>
      </c>
      <c r="AA12" s="15">
        <v>5.4459999999999997</v>
      </c>
      <c r="AB12" s="15">
        <v>5.4840959499999986</v>
      </c>
      <c r="AC12" s="15">
        <v>5.4706788495270002</v>
      </c>
      <c r="AF12" s="226" t="s">
        <v>359</v>
      </c>
      <c r="AG12" s="266" t="str">
        <v>Sääntöä noudatettu</v>
      </c>
      <c r="AH12" s="266" t="str">
        <v>Sääntöä noudatettu</v>
      </c>
      <c r="AI12" s="266" t="str">
        <v>Sääntöä noudatettu</v>
      </c>
      <c r="AJ12" s="266" t="str">
        <v>Sääntöä noudatettu</v>
      </c>
      <c r="AK12" s="263" t="str">
        <v>Poikeama</v>
      </c>
      <c r="AL12" s="266" t="str">
        <v>Merkittävä poikkeama</v>
      </c>
      <c r="AO12" s="235"/>
      <c r="AP12" s="225"/>
      <c r="AQ12" s="307" t="s">
        <v>58</v>
      </c>
      <c r="AR12" s="307"/>
      <c r="AS12" s="307"/>
      <c r="AT12" s="307"/>
      <c r="AU12" s="307"/>
      <c r="AV12" s="307"/>
      <c r="AW12" s="307"/>
      <c r="AX12" s="307"/>
    </row>
    <row r="13" spans="1:50" ht="37.5" customHeight="1" thickBot="1" x14ac:dyDescent="0.25">
      <c r="A13" s="228" t="s">
        <v>324</v>
      </c>
      <c r="B13" s="228"/>
      <c r="C13" s="231">
        <v>49.193100000000001</v>
      </c>
      <c r="D13" s="231">
        <v>53.623600000000003</v>
      </c>
      <c r="E13" s="231">
        <v>56.899999999999991</v>
      </c>
      <c r="F13" s="231">
        <v>59.8</v>
      </c>
      <c r="G13" s="231">
        <v>61</v>
      </c>
      <c r="H13" s="231">
        <v>61.4</v>
      </c>
      <c r="I13" s="231">
        <v>61.3</v>
      </c>
      <c r="L13" s="228" t="s">
        <v>343</v>
      </c>
      <c r="M13" s="228"/>
      <c r="N13" s="242">
        <v>0.92761490682322778</v>
      </c>
      <c r="O13" s="256">
        <v>-9.511863030843646E-3</v>
      </c>
      <c r="P13" s="242">
        <v>0.23952925643218195</v>
      </c>
      <c r="Q13" s="242">
        <v>-0.45841919157113459</v>
      </c>
      <c r="R13" s="242">
        <v>-1.6713859245785216E-2</v>
      </c>
      <c r="S13" s="242">
        <v>-0.22462036242090355</v>
      </c>
      <c r="T13" s="242">
        <v>-0.18305192513673241</v>
      </c>
      <c r="W13" s="128" t="s">
        <v>353</v>
      </c>
      <c r="X13" s="53" t="s">
        <v>354</v>
      </c>
      <c r="Y13" s="270" t="s">
        <v>256</v>
      </c>
      <c r="Z13" s="33">
        <v>4.7760000000000007</v>
      </c>
      <c r="AA13" s="33">
        <v>4.9192499999999999</v>
      </c>
      <c r="AB13" s="33">
        <v>5.1760239874999998</v>
      </c>
      <c r="AC13" s="33">
        <v>5.3566936998817498</v>
      </c>
      <c r="AF13" s="259" t="s">
        <v>378</v>
      </c>
      <c r="AG13" s="280" t="str">
        <v>Sopimusta noudatettu</v>
      </c>
      <c r="AH13" s="280" t="str">
        <v>Noudattaminen osittaista</v>
      </c>
      <c r="AI13" s="280" t="str">
        <v>Sopimusta noudatettu</v>
      </c>
      <c r="AJ13" s="280" t="str">
        <v>Sopimusta noudatettu</v>
      </c>
      <c r="AK13" s="265" t="str">
        <v>Sopimusta noudatettu</v>
      </c>
      <c r="AL13" s="280" t="str">
        <v>Sopimusta noudatettu</v>
      </c>
      <c r="AO13" s="259" t="s">
        <v>387</v>
      </c>
      <c r="AP13" s="232"/>
      <c r="AQ13" s="234">
        <f t="array" ref="AQ13:AT13">TRANSPOSE('Taulukkojen luonti'!F91:F94)</f>
        <v>-0.7184334</v>
      </c>
      <c r="AR13" s="234">
        <v>-1.8258383</v>
      </c>
      <c r="AS13" s="234">
        <v>-2.1122501201904438</v>
      </c>
      <c r="AT13" s="234">
        <v>-2.2158196201904437</v>
      </c>
      <c r="AU13" s="285"/>
      <c r="AV13" s="285"/>
      <c r="AW13" s="285"/>
      <c r="AX13" s="285"/>
    </row>
    <row r="14" spans="1:50" ht="45" customHeight="1" thickTop="1" x14ac:dyDescent="0.2">
      <c r="A14" s="226" t="s">
        <v>325</v>
      </c>
      <c r="B14" s="226"/>
      <c r="C14" s="231">
        <v>2</v>
      </c>
      <c r="D14" s="231">
        <v>2</v>
      </c>
      <c r="E14" s="231">
        <v>2</v>
      </c>
      <c r="F14" s="231">
        <v>2</v>
      </c>
      <c r="G14" s="231">
        <v>2</v>
      </c>
      <c r="H14" s="231">
        <v>2</v>
      </c>
      <c r="I14" s="231">
        <v>2</v>
      </c>
      <c r="L14" s="226" t="s">
        <v>344</v>
      </c>
      <c r="M14" s="226"/>
      <c r="N14" s="227" t="str">
        <v>Kyllä</v>
      </c>
      <c r="O14" s="254" t="str">
        <v>Ei</v>
      </c>
      <c r="P14" s="227" t="str">
        <v>Ei</v>
      </c>
      <c r="Q14" s="227" t="str">
        <v>Ei</v>
      </c>
      <c r="R14" s="227" t="str">
        <v>Ei</v>
      </c>
      <c r="S14" s="227" t="str">
        <v>Ei</v>
      </c>
      <c r="T14" s="227" t="str">
        <v>Ei</v>
      </c>
      <c r="W14" s="31" t="s">
        <v>303</v>
      </c>
      <c r="X14" s="24" t="s">
        <v>355</v>
      </c>
      <c r="Y14" s="271" t="s">
        <v>356</v>
      </c>
      <c r="Z14" s="73">
        <v>104.50827013681368</v>
      </c>
      <c r="AA14" s="73">
        <v>108.05829409798869</v>
      </c>
      <c r="AB14" s="73">
        <v>111.47460088616204</v>
      </c>
      <c r="AC14" s="73">
        <v>113.45443620869533</v>
      </c>
    </row>
    <row r="15" spans="1:50" ht="45" customHeight="1" x14ac:dyDescent="0.3">
      <c r="A15" s="226" t="s">
        <v>326</v>
      </c>
      <c r="B15" s="226"/>
      <c r="C15" s="231" t="str">
        <v>Ei</v>
      </c>
      <c r="D15" s="231" t="str">
        <v>Ei</v>
      </c>
      <c r="E15" s="231" t="str">
        <v>-</v>
      </c>
      <c r="F15" s="231" t="str">
        <v>Ei</v>
      </c>
      <c r="G15" s="231" t="str">
        <v>-</v>
      </c>
      <c r="H15" s="231" t="str">
        <v>-</v>
      </c>
      <c r="I15" s="231" t="str">
        <v>-</v>
      </c>
      <c r="L15" s="226" t="s">
        <v>345</v>
      </c>
      <c r="M15" s="226"/>
      <c r="N15" s="140">
        <v>0</v>
      </c>
      <c r="O15" s="256">
        <v>0.45905152189619214</v>
      </c>
      <c r="P15" s="242">
        <v>0.11500869670066916</v>
      </c>
      <c r="Q15" s="242">
        <v>-0.1094449675694763</v>
      </c>
      <c r="R15" s="242">
        <v>-0.23756652540845988</v>
      </c>
      <c r="S15" s="242">
        <v>-0.12066711083334439</v>
      </c>
      <c r="T15" s="242">
        <v>-0.20383614377881798</v>
      </c>
      <c r="W15" s="140" t="s">
        <v>350</v>
      </c>
      <c r="X15" s="148">
        <v>6</v>
      </c>
      <c r="Y15" s="51" t="s">
        <v>260</v>
      </c>
      <c r="Z15" s="15">
        <v>0.61838634208763577</v>
      </c>
      <c r="AA15" s="15">
        <v>1.4555308824827462</v>
      </c>
      <c r="AB15" s="15">
        <v>0.78542465983562626</v>
      </c>
      <c r="AC15" s="15">
        <v>1.1273996784716283</v>
      </c>
      <c r="AO15" s="308" t="s">
        <v>405</v>
      </c>
      <c r="AP15" s="308"/>
      <c r="AQ15" s="308"/>
      <c r="AR15" s="308"/>
      <c r="AS15" s="308"/>
      <c r="AT15" s="308"/>
      <c r="AU15" s="308"/>
      <c r="AV15" s="308"/>
      <c r="AW15" s="308"/>
    </row>
    <row r="16" spans="1:50" ht="29.25" thickBot="1" x14ac:dyDescent="0.25">
      <c r="A16" s="226" t="s">
        <v>327</v>
      </c>
      <c r="B16" s="225"/>
      <c r="C16" s="231">
        <v>-0.19852893182334663</v>
      </c>
      <c r="D16" s="231">
        <v>-1.4811515604587657</v>
      </c>
      <c r="E16" s="231">
        <v>-2.9828943589894901</v>
      </c>
      <c r="F16" s="231">
        <v>-2.7139143236957746</v>
      </c>
      <c r="G16" s="231">
        <v>-1.9770989461132087</v>
      </c>
      <c r="H16" s="231">
        <v>-0.82777748473723245</v>
      </c>
      <c r="I16" s="231">
        <v>-0.25267242621975033</v>
      </c>
      <c r="L16" s="226" t="s">
        <v>346</v>
      </c>
      <c r="M16" s="225"/>
      <c r="N16" s="227">
        <v>0</v>
      </c>
      <c r="O16" s="257" t="str">
        <v>MTO saavutettu</v>
      </c>
      <c r="P16" s="227" t="str">
        <v>Ei</v>
      </c>
      <c r="Q16" s="258" t="str">
        <v>MTO saavutettu</v>
      </c>
      <c r="R16" s="258" t="str">
        <v>MTO saavutettu</v>
      </c>
      <c r="S16" s="258" t="str">
        <v>MTO saavutettu</v>
      </c>
      <c r="T16" s="258" t="str">
        <v>MTO saavutettu</v>
      </c>
      <c r="W16" s="128" t="s">
        <v>350</v>
      </c>
      <c r="X16" s="53">
        <v>7</v>
      </c>
      <c r="Y16" s="270" t="s">
        <v>261</v>
      </c>
      <c r="Z16" s="33">
        <v>0</v>
      </c>
      <c r="AA16" s="33">
        <v>0.44</v>
      </c>
      <c r="AB16" s="33">
        <v>0</v>
      </c>
      <c r="AC16" s="33">
        <v>0</v>
      </c>
      <c r="AO16" s="140"/>
      <c r="AP16" s="103"/>
      <c r="AQ16" s="103"/>
      <c r="AR16" s="103"/>
      <c r="AS16" s="103"/>
      <c r="AT16" s="103"/>
      <c r="AU16" s="103"/>
      <c r="AV16" s="103"/>
      <c r="AW16" s="103"/>
    </row>
    <row r="17" spans="1:49" ht="23.25" customHeight="1" thickTop="1" thickBot="1" x14ac:dyDescent="0.25">
      <c r="A17" s="286" t="s">
        <v>328</v>
      </c>
      <c r="B17" s="230"/>
      <c r="C17" s="231">
        <v>0.5</v>
      </c>
      <c r="D17" s="231">
        <v>0.5</v>
      </c>
      <c r="E17" s="231">
        <v>0</v>
      </c>
      <c r="F17" s="231">
        <v>0.1</v>
      </c>
      <c r="G17" s="231">
        <v>0</v>
      </c>
      <c r="H17" s="231">
        <v>0</v>
      </c>
      <c r="I17" s="231">
        <v>0</v>
      </c>
      <c r="L17" s="259" t="s">
        <v>110</v>
      </c>
      <c r="M17" s="233"/>
      <c r="N17" s="234" t="str">
        <v>Kyllä</v>
      </c>
      <c r="O17" s="260" t="str">
        <v>Ei</v>
      </c>
      <c r="P17" s="234" t="str">
        <v>Ei</v>
      </c>
      <c r="Q17" s="234" t="str">
        <v>Ei</v>
      </c>
      <c r="R17" s="234" t="str">
        <v>Ei</v>
      </c>
      <c r="S17" s="234" t="str">
        <v>Ei</v>
      </c>
      <c r="T17" s="234" t="str">
        <v>Ei</v>
      </c>
      <c r="W17" s="103" t="s">
        <v>303</v>
      </c>
      <c r="X17" s="101" t="s">
        <v>357</v>
      </c>
      <c r="Y17" s="269" t="s">
        <v>358</v>
      </c>
      <c r="Z17" s="41">
        <v>103.88988379472605</v>
      </c>
      <c r="AA17" s="41">
        <v>106.16276321550595</v>
      </c>
      <c r="AB17" s="41">
        <v>110.68917622632641</v>
      </c>
      <c r="AC17" s="41">
        <v>112.32703653022369</v>
      </c>
      <c r="AO17" s="222"/>
      <c r="AP17" s="223"/>
      <c r="AQ17" s="224">
        <v>2012</v>
      </c>
      <c r="AR17" s="224">
        <v>2013</v>
      </c>
      <c r="AS17" s="224">
        <v>2014</v>
      </c>
      <c r="AT17" s="224">
        <v>2015</v>
      </c>
      <c r="AU17" s="224">
        <v>2016</v>
      </c>
      <c r="AV17" s="224">
        <v>2017</v>
      </c>
      <c r="AW17" s="224">
        <v>2018</v>
      </c>
    </row>
    <row r="18" spans="1:49" ht="35.25" thickTop="1" thickBot="1" x14ac:dyDescent="0.25">
      <c r="A18" s="232" t="s">
        <v>329</v>
      </c>
      <c r="B18" s="233"/>
      <c r="C18" s="234">
        <v>0.5</v>
      </c>
      <c r="D18" s="234">
        <v>0.5</v>
      </c>
      <c r="E18" s="234">
        <v>0</v>
      </c>
      <c r="F18" s="234">
        <v>0.1</v>
      </c>
      <c r="G18" s="234">
        <v>0</v>
      </c>
      <c r="H18" s="234">
        <v>0</v>
      </c>
      <c r="I18" s="234">
        <v>0</v>
      </c>
      <c r="L18" s="261"/>
      <c r="M18" s="140"/>
      <c r="N18" s="140"/>
      <c r="O18" s="140"/>
      <c r="P18" s="140"/>
      <c r="Q18" s="140"/>
      <c r="R18" s="140"/>
      <c r="S18" s="140"/>
      <c r="T18" s="140"/>
      <c r="AO18" s="235" t="s">
        <v>388</v>
      </c>
      <c r="AP18" s="235"/>
      <c r="AQ18" s="227">
        <f t="array" ref="AQ18:AW24">TRANSPOSE('Taulukkojen luonti'!C106:I112)</f>
        <v>53.623600000000003</v>
      </c>
      <c r="AR18" s="263">
        <v>56.9</v>
      </c>
      <c r="AS18" s="263">
        <v>59.8</v>
      </c>
      <c r="AT18" s="263">
        <v>61</v>
      </c>
      <c r="AU18" s="263">
        <v>61.4</v>
      </c>
      <c r="AV18" s="263">
        <v>61.3</v>
      </c>
      <c r="AW18" s="263">
        <v>61.2</v>
      </c>
    </row>
    <row r="19" spans="1:49" ht="34.5" thickTop="1" x14ac:dyDescent="0.2">
      <c r="A19" s="286" t="s">
        <v>330</v>
      </c>
      <c r="B19" s="286"/>
      <c r="C19" s="286"/>
      <c r="D19" s="286"/>
      <c r="E19" s="286"/>
      <c r="F19" s="286"/>
      <c r="G19" s="286"/>
      <c r="H19" s="286"/>
      <c r="I19" s="286"/>
      <c r="L19" s="262"/>
      <c r="M19" s="262"/>
      <c r="N19" s="140"/>
      <c r="O19" s="140"/>
      <c r="P19" s="140"/>
      <c r="Q19" s="140"/>
      <c r="R19" s="140"/>
      <c r="S19" s="140"/>
      <c r="T19" s="140"/>
      <c r="AO19" s="235" t="s">
        <v>389</v>
      </c>
      <c r="AP19" s="225"/>
      <c r="AQ19" s="242" t="str">
        <v>Ei</v>
      </c>
      <c r="AR19" s="263" t="str">
        <v>Ei</v>
      </c>
      <c r="AS19" s="242" t="str">
        <v>Ei</v>
      </c>
      <c r="AT19" s="242" t="str">
        <v>Kyllä</v>
      </c>
      <c r="AU19" s="242" t="str">
        <v>Kyllä</v>
      </c>
      <c r="AV19" s="242" t="str">
        <v>Kyllä</v>
      </c>
      <c r="AW19" s="242" t="str">
        <v>Kyllä</v>
      </c>
    </row>
    <row r="20" spans="1:49" ht="45" x14ac:dyDescent="0.2">
      <c r="A20" s="291" t="s">
        <v>331</v>
      </c>
      <c r="B20" s="291"/>
      <c r="C20" s="291"/>
      <c r="D20" s="291"/>
      <c r="E20" s="291"/>
      <c r="F20" s="291"/>
      <c r="G20" s="291"/>
      <c r="H20" s="291"/>
      <c r="I20" s="291"/>
      <c r="L20" s="140"/>
      <c r="M20" s="140"/>
      <c r="N20" s="140"/>
      <c r="O20" s="140"/>
      <c r="P20" s="140"/>
      <c r="Q20" s="140"/>
      <c r="R20" s="140"/>
      <c r="S20" s="140"/>
      <c r="T20" s="140"/>
      <c r="AO20" s="235" t="s">
        <v>390</v>
      </c>
      <c r="AP20" s="225"/>
      <c r="AQ20" s="227">
        <v>48.458377483333336</v>
      </c>
      <c r="AR20" s="227">
        <v>51.48996800416667</v>
      </c>
      <c r="AS20" s="227">
        <v>54.011577704166669</v>
      </c>
      <c r="AT20" s="227">
        <v>57.181761350000002</v>
      </c>
      <c r="AU20" s="227">
        <v>59.370545833333338</v>
      </c>
      <c r="AV20" s="227">
        <v>60.687008333333338</v>
      </c>
      <c r="AW20" s="227">
        <v>61.118625000000002</v>
      </c>
    </row>
    <row r="21" spans="1:49" ht="22.5" x14ac:dyDescent="0.2">
      <c r="A21" s="310" t="s">
        <v>332</v>
      </c>
      <c r="B21" s="310"/>
      <c r="C21" s="310"/>
      <c r="D21" s="310"/>
      <c r="E21" s="310"/>
      <c r="F21" s="310"/>
      <c r="G21" s="310"/>
      <c r="H21" s="310"/>
      <c r="I21" s="310"/>
      <c r="AO21" s="235" t="s">
        <v>391</v>
      </c>
      <c r="AP21" s="228"/>
      <c r="AQ21" s="242" t="str">
        <v>Ei</v>
      </c>
      <c r="AR21" s="242" t="str">
        <v>Ei</v>
      </c>
      <c r="AS21" s="242" t="str">
        <v>Ei</v>
      </c>
      <c r="AT21" s="242" t="str">
        <v>Ei</v>
      </c>
      <c r="AU21" s="242" t="str">
        <v>Ei</v>
      </c>
      <c r="AV21" s="242" t="str">
        <v>Ei</v>
      </c>
      <c r="AW21" s="242" t="str">
        <v>Ei</v>
      </c>
    </row>
    <row r="22" spans="1:49" x14ac:dyDescent="0.2">
      <c r="AO22" s="235" t="s">
        <v>392</v>
      </c>
      <c r="AP22" s="225"/>
      <c r="AQ22" s="227">
        <v>53.648247420173355</v>
      </c>
      <c r="AR22" s="227">
        <v>54.203293707810133</v>
      </c>
      <c r="AS22" s="227">
        <v>54.578603282248196</v>
      </c>
      <c r="AT22" s="258">
        <v>56.677701237209909</v>
      </c>
      <c r="AU22" s="258">
        <v>59.852502524227368</v>
      </c>
      <c r="AV22" s="258">
        <v>61.27395901481264</v>
      </c>
      <c r="AW22" s="258">
        <v>61.864108029824258</v>
      </c>
    </row>
    <row r="23" spans="1:49" s="140" customFormat="1" ht="57.75" x14ac:dyDescent="0.3">
      <c r="A23" s="226"/>
      <c r="B23" s="226"/>
      <c r="C23" s="226"/>
      <c r="D23" s="226"/>
      <c r="E23" s="226"/>
      <c r="F23" s="226"/>
      <c r="G23" s="226"/>
      <c r="H23" s="226"/>
      <c r="I23" s="226"/>
      <c r="W23" s="308" t="s">
        <v>402</v>
      </c>
      <c r="X23" s="308"/>
      <c r="Y23" s="308"/>
      <c r="Z23" s="308"/>
      <c r="AA23" s="308"/>
      <c r="AB23" s="308"/>
      <c r="AC23" s="308"/>
      <c r="AD23" s="308"/>
      <c r="AO23" s="286" t="s">
        <v>393</v>
      </c>
      <c r="AP23" s="230"/>
      <c r="AQ23" s="231" t="str">
        <v>Ei</v>
      </c>
      <c r="AR23" s="243" t="str">
        <v>Ei</v>
      </c>
      <c r="AS23" s="231" t="str">
        <v>Ei</v>
      </c>
      <c r="AT23" s="231" t="str">
        <v>Kyllä</v>
      </c>
      <c r="AU23" s="231" t="str">
        <v>Ei</v>
      </c>
      <c r="AV23" s="231" t="str">
        <v>Ei</v>
      </c>
      <c r="AW23" s="231" t="str">
        <v>Ei</v>
      </c>
    </row>
    <row r="24" spans="1:49" s="140" customFormat="1" ht="23.25" thickBot="1" x14ac:dyDescent="0.25">
      <c r="A24" s="226"/>
      <c r="B24" s="226"/>
      <c r="C24" s="226"/>
      <c r="D24" s="226"/>
      <c r="E24" s="226"/>
      <c r="F24" s="226"/>
      <c r="G24" s="226"/>
      <c r="H24" s="226"/>
      <c r="I24" s="226"/>
      <c r="AO24" s="288" t="s">
        <v>394</v>
      </c>
      <c r="AP24" s="103"/>
      <c r="AQ24" s="265" t="str">
        <v>Kyllä</v>
      </c>
      <c r="AR24" s="265" t="str">
        <v>Kyllä</v>
      </c>
      <c r="AS24" s="265" t="str">
        <v>Kyllä</v>
      </c>
      <c r="AT24" s="265" t="str">
        <v>Kyllä</v>
      </c>
      <c r="AU24" s="265" t="str">
        <v>Ei</v>
      </c>
      <c r="AV24" s="265" t="str">
        <v>-</v>
      </c>
      <c r="AW24" s="265" t="str">
        <v>-</v>
      </c>
    </row>
    <row r="25" spans="1:49" ht="24" thickTop="1" thickBot="1" x14ac:dyDescent="0.35">
      <c r="A25" s="226"/>
      <c r="B25" s="140"/>
      <c r="C25" s="308" t="s">
        <v>398</v>
      </c>
      <c r="D25" s="308"/>
      <c r="E25" s="308"/>
      <c r="F25" s="308"/>
      <c r="G25" s="308"/>
      <c r="H25" s="308"/>
      <c r="I25" s="140"/>
      <c r="L25" s="308" t="s">
        <v>398</v>
      </c>
      <c r="M25" s="308"/>
      <c r="N25" s="308"/>
      <c r="O25" s="308"/>
      <c r="P25" s="308"/>
      <c r="Q25" s="308"/>
      <c r="R25" s="308"/>
      <c r="S25" s="308"/>
      <c r="T25" s="308"/>
      <c r="W25" s="269" t="s">
        <v>359</v>
      </c>
      <c r="X25" s="101" t="s">
        <v>360</v>
      </c>
      <c r="Y25" s="101" t="s">
        <v>361</v>
      </c>
      <c r="Z25" s="101" t="s">
        <v>348</v>
      </c>
      <c r="AA25" s="101" t="s">
        <v>349</v>
      </c>
      <c r="AB25" s="101" t="s">
        <v>362</v>
      </c>
      <c r="AC25" s="101" t="s">
        <v>363</v>
      </c>
      <c r="AD25" s="101" t="s">
        <v>364</v>
      </c>
    </row>
    <row r="26" spans="1:49" ht="15.75" thickTop="1" thickBot="1" x14ac:dyDescent="0.25">
      <c r="A26" s="103"/>
      <c r="B26" s="103"/>
      <c r="C26" s="103"/>
      <c r="D26" s="103"/>
      <c r="E26" s="103"/>
      <c r="F26" s="103"/>
      <c r="G26" s="103"/>
      <c r="H26" s="103"/>
      <c r="I26" s="103"/>
      <c r="L26" s="140"/>
      <c r="M26" s="103"/>
      <c r="N26" s="103"/>
      <c r="O26" s="103"/>
      <c r="P26" s="103"/>
      <c r="Q26" s="103"/>
      <c r="R26" s="103"/>
      <c r="S26" s="103"/>
      <c r="T26" s="103"/>
      <c r="W26" s="51" t="s">
        <v>370</v>
      </c>
      <c r="X26" s="73">
        <f t="array" ref="X26:AD33">TRANSPOSE('Taulukkojen luonti'!C66:J72)</f>
        <v>0.49999999999999978</v>
      </c>
      <c r="Y26" s="73">
        <v>0.50005564663100199</v>
      </c>
      <c r="Z26" s="73">
        <v>-9.9944353368997846E-2</v>
      </c>
      <c r="AA26" s="73">
        <v>-9.9944353368997846E-2</v>
      </c>
      <c r="AB26" s="73">
        <v>-9.9944353368997846E-2</v>
      </c>
      <c r="AC26" s="19">
        <v>-0.55425648395378913</v>
      </c>
      <c r="AD26" s="19">
        <v>-0.55425648395378913</v>
      </c>
    </row>
    <row r="27" spans="1:49" ht="15" thickTop="1" x14ac:dyDescent="0.2">
      <c r="A27" s="236"/>
      <c r="B27" s="236"/>
      <c r="C27" s="237">
        <v>2011</v>
      </c>
      <c r="D27" s="237">
        <v>2012</v>
      </c>
      <c r="E27" s="237">
        <v>2013</v>
      </c>
      <c r="F27" s="237">
        <v>2014</v>
      </c>
      <c r="G27" s="237">
        <v>2015</v>
      </c>
      <c r="H27" s="237">
        <v>2016</v>
      </c>
      <c r="I27" s="237">
        <v>2017</v>
      </c>
      <c r="L27" s="222"/>
      <c r="M27" s="223"/>
      <c r="N27" s="224">
        <v>2012</v>
      </c>
      <c r="O27" s="237">
        <v>2013</v>
      </c>
      <c r="P27" s="224">
        <v>2014</v>
      </c>
      <c r="Q27" s="224">
        <v>2015</v>
      </c>
      <c r="R27" s="224">
        <v>2016</v>
      </c>
      <c r="S27" s="224">
        <v>2017</v>
      </c>
      <c r="T27" s="224">
        <v>2018</v>
      </c>
      <c r="W27" s="51" t="s">
        <v>371</v>
      </c>
      <c r="X27" s="73">
        <v>1.4</v>
      </c>
      <c r="Y27" s="73">
        <v>1.4</v>
      </c>
      <c r="Z27" s="73">
        <v>0.8</v>
      </c>
      <c r="AA27" s="73">
        <v>0.8</v>
      </c>
      <c r="AB27" s="73">
        <v>0.8</v>
      </c>
      <c r="AC27" s="73">
        <v>0.30614295419185361</v>
      </c>
      <c r="AD27" s="73">
        <v>0.30614295419185361</v>
      </c>
    </row>
    <row r="28" spans="1:49" ht="28.5" x14ac:dyDescent="0.2">
      <c r="A28" s="226" t="s">
        <v>320</v>
      </c>
      <c r="B28" s="225"/>
      <c r="C28" s="227">
        <f t="array" ref="C28:F37">TRANSPOSE('Taulukkojen luonti'!D19:M22)</f>
        <v>-0.51060084736163203</v>
      </c>
      <c r="D28" s="227">
        <v>-0.96444321072579398</v>
      </c>
      <c r="E28" s="227">
        <v>-0.61998247809325358</v>
      </c>
      <c r="F28" s="227">
        <v>-0.83575187100202541</v>
      </c>
      <c r="G28" s="140"/>
      <c r="H28" s="225"/>
      <c r="I28" s="225"/>
      <c r="L28" s="230" t="s">
        <v>93</v>
      </c>
      <c r="M28" s="226"/>
      <c r="N28" s="227">
        <f t="array" ref="N28:P37">TRANSPOSE('Taulukkojen luonti'!C45:L47)</f>
        <v>-0.96444321072579398</v>
      </c>
      <c r="O28" s="254">
        <v>-0.61998247809325358</v>
      </c>
      <c r="P28" s="227">
        <v>-0.83575187100202541</v>
      </c>
      <c r="Q28" s="227"/>
      <c r="R28" s="227"/>
      <c r="S28" s="227"/>
      <c r="T28" s="227"/>
      <c r="W28" s="51" t="s">
        <v>300</v>
      </c>
      <c r="X28" s="24" t="str">
        <v>Ei</v>
      </c>
      <c r="Y28" s="24" t="str">
        <v>Ei</v>
      </c>
      <c r="Z28" s="24" t="str">
        <v>Kyllä</v>
      </c>
      <c r="AA28" s="24" t="str">
        <v>Ei</v>
      </c>
      <c r="AB28" s="24" t="str">
        <v>Kyllä</v>
      </c>
      <c r="AC28" s="24" t="str">
        <v>Kyllä</v>
      </c>
      <c r="AD28" s="24" t="str">
        <v>Kyllä</v>
      </c>
    </row>
    <row r="29" spans="1:49" x14ac:dyDescent="0.2">
      <c r="A29" s="225" t="s">
        <v>321</v>
      </c>
      <c r="B29" s="225"/>
      <c r="C29" s="238">
        <v>0.5</v>
      </c>
      <c r="D29" s="238">
        <v>0.5</v>
      </c>
      <c r="E29" s="227">
        <v>-0.5</v>
      </c>
      <c r="F29" s="238">
        <v>-0.5</v>
      </c>
      <c r="G29" s="140"/>
      <c r="H29" s="225"/>
      <c r="I29" s="225"/>
      <c r="L29" s="230" t="s">
        <v>109</v>
      </c>
      <c r="M29" s="225"/>
      <c r="N29" s="263">
        <v>0.5</v>
      </c>
      <c r="O29" s="256">
        <v>-0.5</v>
      </c>
      <c r="P29" s="263">
        <v>-0.5</v>
      </c>
      <c r="Q29" s="242"/>
      <c r="R29" s="242"/>
      <c r="S29" s="242"/>
      <c r="T29" s="242"/>
      <c r="W29" s="51" t="s">
        <v>365</v>
      </c>
      <c r="X29" s="19">
        <v>1.5006271175367569</v>
      </c>
      <c r="Y29" s="19">
        <v>-0.40870423833037073</v>
      </c>
      <c r="Z29" s="19">
        <v>0.37696014030192959</v>
      </c>
      <c r="AA29" s="19">
        <v>-1.2110877792461006</v>
      </c>
      <c r="AB29" s="19">
        <v>0.39088452507745064</v>
      </c>
      <c r="AC29" s="19">
        <v>0.39642381813769223</v>
      </c>
      <c r="AD29" s="19">
        <v>1.189365848955859</v>
      </c>
    </row>
    <row r="30" spans="1:49" ht="28.5" x14ac:dyDescent="0.2">
      <c r="A30" s="226" t="s">
        <v>322</v>
      </c>
      <c r="B30" s="225"/>
      <c r="C30" s="238">
        <v>-1.0106008473616319</v>
      </c>
      <c r="D30" s="238">
        <v>-1.4644432107257941</v>
      </c>
      <c r="E30" s="227">
        <v>-0.11998247809325352</v>
      </c>
      <c r="F30" s="238">
        <v>-0.33575187100202536</v>
      </c>
      <c r="G30" s="140"/>
      <c r="H30" s="225"/>
      <c r="I30" s="225"/>
      <c r="L30" s="226" t="s">
        <v>340</v>
      </c>
      <c r="M30" s="225"/>
      <c r="N30" s="242" t="str">
        <v>Ei</v>
      </c>
      <c r="O30" s="256" t="str">
        <v>Kyllä</v>
      </c>
      <c r="P30" s="242" t="str">
        <v>Ei</v>
      </c>
      <c r="Q30" s="242"/>
      <c r="R30" s="242"/>
      <c r="S30" s="242"/>
      <c r="T30" s="242"/>
      <c r="W30" s="51" t="s">
        <v>366</v>
      </c>
      <c r="X30" s="73">
        <v>1.0006271175367571</v>
      </c>
      <c r="Y30" s="73">
        <v>-0.90875988496137272</v>
      </c>
      <c r="Z30" s="73">
        <v>-0.42303985969807045</v>
      </c>
      <c r="AA30" s="73">
        <v>-1.1111434258771027</v>
      </c>
      <c r="AB30" s="73">
        <v>-0.4091154749225494</v>
      </c>
      <c r="AC30" s="73">
        <v>9.0280863945838619E-2</v>
      </c>
      <c r="AD30" s="73">
        <v>0.8832228947640054</v>
      </c>
    </row>
    <row r="31" spans="1:49" ht="28.5" x14ac:dyDescent="0.2">
      <c r="A31" s="226" t="s">
        <v>333</v>
      </c>
      <c r="B31" s="225"/>
      <c r="C31" s="227" t="str">
        <v>Ei</v>
      </c>
      <c r="D31" s="227" t="str">
        <v>Ei</v>
      </c>
      <c r="E31" s="227" t="str">
        <v>Kyllä</v>
      </c>
      <c r="F31" s="227" t="str">
        <v>Ei</v>
      </c>
      <c r="G31" s="140"/>
      <c r="H31" s="225"/>
      <c r="I31" s="225"/>
      <c r="L31" s="226" t="s">
        <v>341</v>
      </c>
      <c r="M31" s="228"/>
      <c r="N31" s="242">
        <v>0.5</v>
      </c>
      <c r="O31" s="256">
        <v>0.5</v>
      </c>
      <c r="P31" s="242">
        <v>0</v>
      </c>
      <c r="Q31" s="242"/>
      <c r="R31" s="242"/>
      <c r="S31" s="242"/>
      <c r="T31" s="242"/>
      <c r="W31" s="51" t="s">
        <v>367</v>
      </c>
      <c r="X31" s="19">
        <v>0.51896402334586733</v>
      </c>
      <c r="Y31" s="19">
        <v>-0.49096076646372755</v>
      </c>
      <c r="Z31" s="19">
        <v>-0.23152224808438163</v>
      </c>
      <c r="AA31" s="19">
        <v>-0.61022905883815737</v>
      </c>
      <c r="AB31" s="19">
        <v>-0.22139589787149566</v>
      </c>
      <c r="AC31" s="19">
        <v>4.860186300819265E-2</v>
      </c>
      <c r="AD31" s="19">
        <v>0.47196941791825048</v>
      </c>
    </row>
    <row r="32" spans="1:49" ht="33.75" x14ac:dyDescent="0.2">
      <c r="A32" s="228" t="s">
        <v>334</v>
      </c>
      <c r="B32" s="225"/>
      <c r="C32" s="238">
        <v>49.193100000000001</v>
      </c>
      <c r="D32" s="238">
        <v>53.623600000000003</v>
      </c>
      <c r="E32" s="238">
        <v>57.165599999999998</v>
      </c>
      <c r="F32" s="238">
        <v>60.422699999999999</v>
      </c>
      <c r="G32" s="140"/>
      <c r="H32" s="225"/>
      <c r="I32" s="225"/>
      <c r="L32" s="226" t="s">
        <v>342</v>
      </c>
      <c r="M32" s="226"/>
      <c r="N32" s="227">
        <v>-0.453842363364162</v>
      </c>
      <c r="O32" s="254">
        <v>0.34446073263254046</v>
      </c>
      <c r="P32" s="227">
        <v>-0.21576939290877187</v>
      </c>
      <c r="Q32" s="227"/>
      <c r="R32" s="227"/>
      <c r="S32" s="227"/>
      <c r="T32" s="227"/>
      <c r="W32" s="51" t="s">
        <v>368</v>
      </c>
      <c r="X32" s="19" t="str">
        <v>-</v>
      </c>
      <c r="Y32" s="19">
        <v>1.4001628441069874E-2</v>
      </c>
      <c r="Z32" s="19">
        <v>-0.36124150727405463</v>
      </c>
      <c r="AA32" s="19">
        <v>-0.42087565346126943</v>
      </c>
      <c r="AB32" s="19">
        <v>-0.41581247835482654</v>
      </c>
      <c r="AC32" s="19">
        <v>-8.6397017431651499E-2</v>
      </c>
      <c r="AD32" s="19">
        <v>0.26028564046322156</v>
      </c>
    </row>
    <row r="33" spans="1:30" ht="29.25" thickBot="1" x14ac:dyDescent="0.25">
      <c r="A33" s="226" t="s">
        <v>335</v>
      </c>
      <c r="B33" s="225"/>
      <c r="C33" s="227">
        <v>2</v>
      </c>
      <c r="D33" s="227">
        <v>2</v>
      </c>
      <c r="E33" s="227">
        <v>2</v>
      </c>
      <c r="F33" s="227">
        <v>2</v>
      </c>
      <c r="G33" s="140"/>
      <c r="H33" s="225"/>
      <c r="I33" s="225"/>
      <c r="L33" s="228" t="s">
        <v>343</v>
      </c>
      <c r="M33" s="226"/>
      <c r="N33" s="242">
        <v>0.95384236336416195</v>
      </c>
      <c r="O33" s="256">
        <v>0.15553926736745954</v>
      </c>
      <c r="P33" s="242">
        <v>0.21576939290877187</v>
      </c>
      <c r="Q33" s="242"/>
      <c r="R33" s="242"/>
      <c r="S33" s="242"/>
      <c r="T33" s="242"/>
      <c r="W33" s="269" t="s">
        <v>369</v>
      </c>
      <c r="X33" s="101" t="str">
        <v>-</v>
      </c>
      <c r="Y33" s="101" t="str">
        <v>Ei</v>
      </c>
      <c r="Z33" s="101" t="str">
        <v>Ei</v>
      </c>
      <c r="AA33" s="101" t="str">
        <v>Ei</v>
      </c>
      <c r="AB33" s="101" t="str">
        <v>Ei</v>
      </c>
      <c r="AC33" s="101" t="str">
        <v>Ei</v>
      </c>
      <c r="AD33" s="101" t="str">
        <v>Kyllä</v>
      </c>
    </row>
    <row r="34" spans="1:30" ht="23.25" thickTop="1" x14ac:dyDescent="0.2">
      <c r="A34" s="226" t="s">
        <v>326</v>
      </c>
      <c r="B34" s="225"/>
      <c r="C34" s="239" t="str">
        <v>Ei</v>
      </c>
      <c r="D34" s="227" t="str">
        <v>Ei</v>
      </c>
      <c r="E34" s="227" t="str">
        <v>-</v>
      </c>
      <c r="F34" s="227" t="str">
        <v>Kyllä</v>
      </c>
      <c r="G34" s="140"/>
      <c r="H34" s="225"/>
      <c r="I34" s="225"/>
      <c r="L34" s="226" t="s">
        <v>344</v>
      </c>
      <c r="M34" s="225"/>
      <c r="N34" s="227" t="str">
        <v>Kyllä</v>
      </c>
      <c r="O34" s="257" t="str">
        <v>Ei</v>
      </c>
      <c r="P34" s="227" t="str">
        <v>Ei</v>
      </c>
      <c r="Q34" s="258"/>
      <c r="R34" s="258"/>
      <c r="S34" s="258"/>
      <c r="T34" s="258"/>
    </row>
    <row r="35" spans="1:30" ht="22.5" x14ac:dyDescent="0.2">
      <c r="A35" s="226" t="s">
        <v>336</v>
      </c>
      <c r="B35" s="225"/>
      <c r="C35" s="239">
        <v>-0.24515575969503381</v>
      </c>
      <c r="D35" s="227">
        <v>-1.4811228099513318</v>
      </c>
      <c r="E35" s="227">
        <v>-2.8155993247116795</v>
      </c>
      <c r="F35" s="227">
        <v>-2.6039014135630532</v>
      </c>
      <c r="G35" s="140"/>
      <c r="H35" s="225"/>
      <c r="I35" s="225"/>
      <c r="L35" s="226" t="s">
        <v>345</v>
      </c>
      <c r="M35" s="230"/>
      <c r="N35" s="231">
        <v>0</v>
      </c>
      <c r="O35" s="264">
        <v>0.55469081536581066</v>
      </c>
      <c r="P35" s="231">
        <v>0.18565433013811569</v>
      </c>
      <c r="Q35" s="231"/>
      <c r="R35" s="231"/>
      <c r="S35" s="231"/>
      <c r="T35" s="231"/>
    </row>
    <row r="36" spans="1:30" ht="22.5" x14ac:dyDescent="0.2">
      <c r="A36" s="286" t="s">
        <v>281</v>
      </c>
      <c r="B36" s="230"/>
      <c r="C36" s="293">
        <v>0.5</v>
      </c>
      <c r="D36" s="293">
        <v>0.5</v>
      </c>
      <c r="E36" s="293">
        <v>0</v>
      </c>
      <c r="F36" s="293">
        <v>0.6</v>
      </c>
      <c r="G36" s="140"/>
      <c r="H36" s="230"/>
      <c r="I36" s="230"/>
      <c r="L36" s="226" t="s">
        <v>346</v>
      </c>
      <c r="M36" s="140"/>
      <c r="N36" s="263">
        <v>0</v>
      </c>
      <c r="O36" s="267" t="str">
        <v>MTO saavutettu</v>
      </c>
      <c r="P36" s="263" t="str">
        <v>Ei</v>
      </c>
      <c r="Q36" s="140"/>
      <c r="R36" s="140"/>
      <c r="S36" s="140"/>
      <c r="T36" s="140"/>
    </row>
    <row r="37" spans="1:30" ht="34.5" thickBot="1" x14ac:dyDescent="0.25">
      <c r="A37" s="232" t="s">
        <v>337</v>
      </c>
      <c r="B37" s="233"/>
      <c r="C37" s="240">
        <v>0.5</v>
      </c>
      <c r="D37" s="240">
        <v>0.5</v>
      </c>
      <c r="E37" s="240">
        <v>0</v>
      </c>
      <c r="F37" s="240">
        <v>0.33575187100202536</v>
      </c>
      <c r="G37" s="140"/>
      <c r="H37" s="233"/>
      <c r="I37" s="233"/>
      <c r="L37" s="259" t="s">
        <v>110</v>
      </c>
      <c r="M37" s="103"/>
      <c r="N37" s="265" t="str">
        <v>Kyllä</v>
      </c>
      <c r="O37" s="268" t="str">
        <v>Ei</v>
      </c>
      <c r="P37" s="265" t="str">
        <v>Ei</v>
      </c>
      <c r="Q37" s="103"/>
      <c r="R37" s="103"/>
      <c r="S37" s="103"/>
      <c r="T37" s="103"/>
    </row>
    <row r="38" spans="1:30" ht="34.5" thickTop="1" x14ac:dyDescent="0.2">
      <c r="A38" s="292" t="s">
        <v>330</v>
      </c>
      <c r="B38" s="292"/>
      <c r="C38" s="292"/>
      <c r="D38" s="292"/>
      <c r="E38" s="292"/>
      <c r="F38" s="292"/>
      <c r="G38" s="292"/>
      <c r="H38" s="292"/>
      <c r="I38" s="292"/>
    </row>
    <row r="39" spans="1:30" ht="25.5" customHeight="1" x14ac:dyDescent="0.2">
      <c r="A39" s="291" t="s">
        <v>331</v>
      </c>
      <c r="B39" s="291"/>
      <c r="C39" s="291"/>
      <c r="D39" s="291"/>
      <c r="E39" s="291"/>
      <c r="F39" s="291"/>
      <c r="G39" s="291"/>
      <c r="H39" s="291"/>
      <c r="I39" s="291"/>
    </row>
    <row r="40" spans="1:30" ht="14.25" customHeight="1" x14ac:dyDescent="0.2">
      <c r="A40" s="310" t="s">
        <v>332</v>
      </c>
      <c r="B40" s="310"/>
      <c r="C40" s="310"/>
      <c r="D40" s="310"/>
      <c r="E40" s="310"/>
      <c r="F40" s="310"/>
      <c r="G40" s="310"/>
      <c r="H40" s="310"/>
      <c r="I40" s="310"/>
    </row>
    <row r="48" spans="1:30" x14ac:dyDescent="0.2">
      <c r="B48" s="250"/>
      <c r="C48" s="250"/>
      <c r="D48" s="250"/>
      <c r="E48" s="250"/>
      <c r="F48" s="250"/>
      <c r="G48" s="250"/>
      <c r="H48" s="250"/>
    </row>
    <row r="49" spans="2:8" x14ac:dyDescent="0.2">
      <c r="B49" s="250"/>
      <c r="C49" s="250"/>
      <c r="D49" s="250"/>
      <c r="E49" s="250"/>
      <c r="F49" s="250"/>
      <c r="G49" s="250"/>
      <c r="H49" s="250"/>
    </row>
    <row r="50" spans="2:8" x14ac:dyDescent="0.2">
      <c r="B50" s="250"/>
      <c r="C50" s="250"/>
      <c r="D50" s="250"/>
      <c r="E50" s="250"/>
      <c r="F50" s="250"/>
      <c r="G50" s="250"/>
      <c r="H50" s="250"/>
    </row>
    <row r="51" spans="2:8" x14ac:dyDescent="0.2">
      <c r="B51" s="250"/>
      <c r="C51" s="250"/>
      <c r="D51" s="250"/>
      <c r="E51" s="250"/>
      <c r="F51" s="250"/>
      <c r="G51" s="250"/>
      <c r="H51" s="250"/>
    </row>
    <row r="52" spans="2:8" x14ac:dyDescent="0.2">
      <c r="B52" s="250"/>
      <c r="C52" s="250"/>
      <c r="D52" s="250"/>
      <c r="E52" s="250"/>
      <c r="F52" s="250"/>
      <c r="G52" s="250"/>
      <c r="H52" s="250"/>
    </row>
    <row r="53" spans="2:8" x14ac:dyDescent="0.2">
      <c r="B53" s="250"/>
      <c r="C53" s="250"/>
      <c r="D53" s="250"/>
      <c r="E53" s="250"/>
      <c r="F53" s="250"/>
      <c r="G53" s="250"/>
      <c r="H53" s="250"/>
    </row>
    <row r="54" spans="2:8" x14ac:dyDescent="0.2">
      <c r="B54" s="250"/>
      <c r="C54" s="250"/>
      <c r="D54" s="250"/>
      <c r="E54" s="250"/>
      <c r="F54" s="250"/>
      <c r="G54" s="250"/>
      <c r="H54" s="250"/>
    </row>
    <row r="55" spans="2:8" x14ac:dyDescent="0.2">
      <c r="B55" s="250"/>
      <c r="C55" s="250"/>
      <c r="D55" s="250"/>
      <c r="E55" s="250"/>
      <c r="F55" s="250"/>
      <c r="G55" s="250"/>
      <c r="H55" s="250"/>
    </row>
    <row r="56" spans="2:8" x14ac:dyDescent="0.2">
      <c r="B56" s="244"/>
      <c r="C56" s="244"/>
      <c r="D56" s="244"/>
      <c r="E56" s="244"/>
      <c r="F56" s="244"/>
      <c r="G56" s="244"/>
      <c r="H56" s="244"/>
    </row>
    <row r="57" spans="2:8" x14ac:dyDescent="0.2">
      <c r="B57" s="250"/>
      <c r="C57" s="250"/>
      <c r="D57" s="250"/>
      <c r="E57" s="250"/>
      <c r="F57" s="250"/>
      <c r="G57" s="250"/>
      <c r="H57" s="250"/>
    </row>
    <row r="58" spans="2:8" x14ac:dyDescent="0.2">
      <c r="B58" s="250"/>
      <c r="C58" s="250"/>
      <c r="D58" s="250"/>
      <c r="E58" s="250"/>
      <c r="F58" s="250"/>
      <c r="G58" s="250"/>
      <c r="H58" s="250"/>
    </row>
  </sheetData>
  <mergeCells count="15">
    <mergeCell ref="A40:I40"/>
    <mergeCell ref="C25:H25"/>
    <mergeCell ref="L25:T25"/>
    <mergeCell ref="A21:I21"/>
    <mergeCell ref="W23:AD23"/>
    <mergeCell ref="AQ10:AX10"/>
    <mergeCell ref="AQ12:AX12"/>
    <mergeCell ref="AO7:AX7"/>
    <mergeCell ref="AO15:AW15"/>
    <mergeCell ref="B3:I3"/>
    <mergeCell ref="C5:G5"/>
    <mergeCell ref="W4:AC4"/>
    <mergeCell ref="L3:T3"/>
    <mergeCell ref="L5:T5"/>
    <mergeCell ref="AF8:AL8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3:N112"/>
  <sheetViews>
    <sheetView workbookViewId="0"/>
  </sheetViews>
  <sheetFormatPr defaultRowHeight="14.25" x14ac:dyDescent="0.2"/>
  <cols>
    <col min="2" max="2" width="11.25" customWidth="1"/>
    <col min="3" max="3" width="14.75" customWidth="1"/>
    <col min="4" max="4" width="14.375" customWidth="1"/>
    <col min="5" max="5" width="19.625" customWidth="1"/>
    <col min="6" max="6" width="12.875" customWidth="1"/>
    <col min="7" max="7" width="15.125" customWidth="1"/>
    <col min="8" max="8" width="11.25" customWidth="1"/>
    <col min="9" max="9" width="12.625" customWidth="1"/>
    <col min="10" max="10" width="16.25" customWidth="1"/>
    <col min="11" max="11" width="17.5" customWidth="1"/>
    <col min="12" max="12" width="19.125" customWidth="1"/>
    <col min="13" max="13" width="21.25" customWidth="1"/>
    <col min="14" max="14" width="23.125" customWidth="1"/>
  </cols>
  <sheetData>
    <row r="3" spans="2:14" ht="22.5" x14ac:dyDescent="0.3">
      <c r="B3" s="308" t="s">
        <v>406</v>
      </c>
      <c r="C3" s="308"/>
      <c r="D3" s="308"/>
      <c r="E3" s="308"/>
      <c r="F3" s="308"/>
      <c r="G3" s="308"/>
      <c r="H3" s="308"/>
      <c r="I3" s="308"/>
      <c r="J3" s="308"/>
      <c r="K3" s="308"/>
      <c r="L3" s="308"/>
      <c r="M3" s="308"/>
      <c r="N3" s="308"/>
    </row>
    <row r="4" spans="2:14" ht="42.75" customHeight="1" x14ac:dyDescent="0.2">
      <c r="B4" s="244"/>
      <c r="C4" s="244"/>
      <c r="D4" s="245" t="s">
        <v>320</v>
      </c>
      <c r="E4" s="244" t="s">
        <v>321</v>
      </c>
      <c r="F4" s="245" t="s">
        <v>322</v>
      </c>
      <c r="G4" s="246" t="s">
        <v>323</v>
      </c>
      <c r="H4" s="247" t="s">
        <v>324</v>
      </c>
      <c r="I4" s="245" t="s">
        <v>325</v>
      </c>
      <c r="J4" s="248" t="s">
        <v>326</v>
      </c>
      <c r="K4" s="245" t="s">
        <v>327</v>
      </c>
      <c r="L4" s="248" t="s">
        <v>328</v>
      </c>
      <c r="M4" s="248" t="s">
        <v>329</v>
      </c>
    </row>
    <row r="5" spans="2:14" x14ac:dyDescent="0.2">
      <c r="B5" s="244"/>
      <c r="C5" s="244"/>
      <c r="D5" s="245"/>
      <c r="E5" s="244"/>
      <c r="F5" s="244"/>
      <c r="G5" s="244"/>
      <c r="H5" s="247"/>
      <c r="I5" s="245"/>
      <c r="J5" s="245"/>
      <c r="K5" s="244"/>
      <c r="L5" s="244"/>
      <c r="M5" s="244"/>
    </row>
    <row r="6" spans="2:14" x14ac:dyDescent="0.2">
      <c r="B6" s="249">
        <v>2011</v>
      </c>
      <c r="C6" s="244"/>
      <c r="D6" s="250">
        <f>'Poikkeama rak.jäämästä'!O10*100</f>
        <v>-0.61321306613362625</v>
      </c>
      <c r="E6" s="250">
        <f>'Poikkeama rak.jäämästä'!P10*100</f>
        <v>0.5</v>
      </c>
      <c r="F6" s="250">
        <f>'Poikkeama rak.jäämästä'!Q10*100</f>
        <v>-1.1132130661336261</v>
      </c>
      <c r="G6" s="250" t="str">
        <f>IF('Poikkeama rak.jäämästä'!R10=1,"Kyllä","Ei")</f>
        <v>Ei</v>
      </c>
      <c r="H6" s="250">
        <f>'rak. jäämään muutostavoite'!O12*100</f>
        <v>49.193100000000001</v>
      </c>
      <c r="I6" s="250">
        <f>'rak. jäämään muutostavoite'!P12*100</f>
        <v>2</v>
      </c>
      <c r="J6" s="250" t="str">
        <f>IF('Poikkeama rak.jäämästä'!R10=0,IF('rak. jäämään muutostavoite'!Q12=0,"Ei","Kyllä"),"-")</f>
        <v>Ei</v>
      </c>
      <c r="K6" s="250">
        <f>'rak. jäämään muutostavoite'!M12*100</f>
        <v>-0.19852893182334663</v>
      </c>
      <c r="L6" s="250">
        <f>'rak. jäämään muutostavoite'!R12*100</f>
        <v>0.5</v>
      </c>
      <c r="M6" s="250">
        <f>'rak. jäämään muutostavoite'!T12*100</f>
        <v>0.5</v>
      </c>
    </row>
    <row r="7" spans="2:14" x14ac:dyDescent="0.2">
      <c r="B7" s="249">
        <v>2012</v>
      </c>
      <c r="C7" s="244"/>
      <c r="D7" s="250">
        <f>'Poikkeama rak.jäämästä'!O11*100</f>
        <v>-1.0408279729568541</v>
      </c>
      <c r="E7" s="250">
        <f>'Poikkeama rak.jäämästä'!P11*100</f>
        <v>0.5</v>
      </c>
      <c r="F7" s="250">
        <f>'Poikkeama rak.jäämästä'!Q11*100</f>
        <v>-1.5408279729568541</v>
      </c>
      <c r="G7" s="250" t="str">
        <f>IF('Poikkeama rak.jäämästä'!R11=1,"Kyllä","Ei")</f>
        <v>Ei</v>
      </c>
      <c r="H7" s="250">
        <f>'rak. jäämään muutostavoite'!O13*100</f>
        <v>53.623600000000003</v>
      </c>
      <c r="I7" s="250">
        <f>'rak. jäämään muutostavoite'!P13*100</f>
        <v>2</v>
      </c>
      <c r="J7" s="250" t="str">
        <f>IF('Poikkeama rak.jäämästä'!R11=0,IF('rak. jäämään muutostavoite'!Q13=0,"Ei","Kyllä"),"-")</f>
        <v>Ei</v>
      </c>
      <c r="K7" s="250">
        <f>'rak. jäämään muutostavoite'!M13*100</f>
        <v>-1.4811515604587657</v>
      </c>
      <c r="L7" s="250">
        <f>'rak. jäämään muutostavoite'!R13*100</f>
        <v>0.5</v>
      </c>
      <c r="M7" s="250">
        <f>'rak. jäämään muutostavoite'!T13*100</f>
        <v>0.5</v>
      </c>
    </row>
    <row r="8" spans="2:14" x14ac:dyDescent="0.2">
      <c r="B8" s="249">
        <v>2013</v>
      </c>
      <c r="C8" s="244"/>
      <c r="D8" s="250">
        <f>'Poikkeama rak.jäämästä'!O12*100</f>
        <v>-0.53131610992601042</v>
      </c>
      <c r="E8" s="250">
        <f>'Poikkeama rak.jäämästä'!P12*100</f>
        <v>-0.5</v>
      </c>
      <c r="F8" s="250">
        <f>'Poikkeama rak.jäämästä'!Q12*100</f>
        <v>-3.1316109926010374E-2</v>
      </c>
      <c r="G8" s="250" t="str">
        <f>IF('Poikkeama rak.jäämästä'!R12=1,"Kyllä","Ei")</f>
        <v>Kyllä</v>
      </c>
      <c r="H8" s="250">
        <f>'rak. jäämään muutostavoite'!O14*100</f>
        <v>56.899999999999991</v>
      </c>
      <c r="I8" s="250">
        <f>'rak. jäämään muutostavoite'!P14*100</f>
        <v>2</v>
      </c>
      <c r="J8" s="250" t="str">
        <f>IF('Poikkeama rak.jäämästä'!R12=0,IF('rak. jäämään muutostavoite'!Q14=0,"Ei","Kyllä"),"-")</f>
        <v>-</v>
      </c>
      <c r="K8" s="250">
        <f>'rak. jäämään muutostavoite'!M14*100</f>
        <v>-2.9828943589894901</v>
      </c>
      <c r="L8" s="250">
        <f>'rak. jäämään muutostavoite'!R14*100</f>
        <v>0</v>
      </c>
      <c r="M8" s="250">
        <f>'rak. jäämään muutostavoite'!T14*100</f>
        <v>0</v>
      </c>
    </row>
    <row r="9" spans="2:14" x14ac:dyDescent="0.2">
      <c r="B9" s="249">
        <v>2014</v>
      </c>
      <c r="C9" s="244"/>
      <c r="D9" s="250">
        <f>'Poikkeama rak.jäämästä'!O13*100</f>
        <v>-0.77084536635819234</v>
      </c>
      <c r="E9" s="250">
        <f>'Poikkeama rak.jäämästä'!P13*100</f>
        <v>-0.5</v>
      </c>
      <c r="F9" s="250">
        <f>'Poikkeama rak.jäämästä'!Q13*100</f>
        <v>-0.27084536635819234</v>
      </c>
      <c r="G9" s="250" t="str">
        <f>IF('Poikkeama rak.jäämästä'!R13=1,"Kyllä","Ei")</f>
        <v>Ei</v>
      </c>
      <c r="H9" s="250">
        <f>'rak. jäämään muutostavoite'!O15*100</f>
        <v>59.8</v>
      </c>
      <c r="I9" s="250">
        <f>'rak. jäämään muutostavoite'!P15*100</f>
        <v>2</v>
      </c>
      <c r="J9" s="250" t="str">
        <f>IF('Poikkeama rak.jäämästä'!R13=0,IF('rak. jäämään muutostavoite'!Q15=0,"Ei","Kyllä"),"-")</f>
        <v>Ei</v>
      </c>
      <c r="K9" s="250">
        <f>'rak. jäämään muutostavoite'!M15*100</f>
        <v>-2.7139143236957746</v>
      </c>
      <c r="L9" s="250">
        <f>'rak. jäämään muutostavoite'!R15*100</f>
        <v>0.1</v>
      </c>
      <c r="M9" s="250">
        <f>'rak. jäämään muutostavoite'!T15*100</f>
        <v>0.1</v>
      </c>
    </row>
    <row r="10" spans="2:14" x14ac:dyDescent="0.2">
      <c r="B10" s="249">
        <v>2015</v>
      </c>
      <c r="C10" s="244"/>
      <c r="D10" s="250">
        <f>'Poikkeama rak.jäämästä'!O14*100</f>
        <v>-0.2124261747870578</v>
      </c>
      <c r="E10" s="250">
        <f>'Poikkeama rak.jäämästä'!P14*100</f>
        <v>-0.5</v>
      </c>
      <c r="F10" s="250">
        <f>'Poikkeama rak.jäämästä'!Q14*100</f>
        <v>0.28757382521294222</v>
      </c>
      <c r="G10" s="250" t="str">
        <f>IF('Poikkeama rak.jäämästä'!R14=1,"Kyllä","Ei")</f>
        <v>Kyllä</v>
      </c>
      <c r="H10" s="250">
        <f>'rak. jäämään muutostavoite'!O16*100</f>
        <v>61</v>
      </c>
      <c r="I10" s="250">
        <f>'rak. jäämään muutostavoite'!P16*100</f>
        <v>2</v>
      </c>
      <c r="J10" s="250" t="str">
        <f>IF('Poikkeama rak.jäämästä'!R14=0,IF('rak. jäämään muutostavoite'!Q16=0,"Ei","Kyllä"),"-")</f>
        <v>-</v>
      </c>
      <c r="K10" s="250">
        <f>'rak. jäämään muutostavoite'!M16*100</f>
        <v>-1.9770989461132087</v>
      </c>
      <c r="L10" s="250">
        <f>'rak. jäämään muutostavoite'!R16*100</f>
        <v>0</v>
      </c>
      <c r="M10" s="250">
        <f>'rak. jäämään muutostavoite'!T16*100</f>
        <v>0</v>
      </c>
    </row>
    <row r="11" spans="2:14" x14ac:dyDescent="0.2">
      <c r="B11" s="249">
        <v>2016</v>
      </c>
      <c r="C11" s="244"/>
      <c r="D11" s="250">
        <f>'Poikkeama rak.jäämästä'!O15*100</f>
        <v>-0.19571231554127261</v>
      </c>
      <c r="E11" s="250">
        <f>'Poikkeama rak.jäämästä'!P15*100</f>
        <v>-0.5</v>
      </c>
      <c r="F11" s="250">
        <f>'Poikkeama rak.jäämästä'!Q15*100</f>
        <v>0.30428768445872739</v>
      </c>
      <c r="G11" s="250" t="str">
        <f>IF('Poikkeama rak.jäämästä'!R15=1,"Kyllä","Ei")</f>
        <v>Kyllä</v>
      </c>
      <c r="H11" s="250">
        <f>'rak. jäämään muutostavoite'!O17*100</f>
        <v>61.4</v>
      </c>
      <c r="I11" s="250">
        <f>'rak. jäämään muutostavoite'!P17*100</f>
        <v>2</v>
      </c>
      <c r="J11" s="250" t="str">
        <f>IF('Poikkeama rak.jäämästä'!R15=0,IF('rak. jäämään muutostavoite'!Q17=0,"Ei","Kyllä"),"-")</f>
        <v>-</v>
      </c>
      <c r="K11" s="250">
        <f>'rak. jäämään muutostavoite'!M17*100</f>
        <v>-0.82777748473723245</v>
      </c>
      <c r="L11" s="250">
        <f>'rak. jäämään muutostavoite'!R17*100</f>
        <v>0</v>
      </c>
      <c r="M11" s="250">
        <f>'rak. jäämään muutostavoite'!T17*100</f>
        <v>0</v>
      </c>
    </row>
    <row r="12" spans="2:14" x14ac:dyDescent="0.2">
      <c r="B12" s="249">
        <v>2017</v>
      </c>
      <c r="C12" s="244"/>
      <c r="D12" s="250">
        <f>'Poikkeama rak.jäämästä'!O16*100</f>
        <v>2.8908046879630944E-2</v>
      </c>
      <c r="E12" s="250">
        <f>'Poikkeama rak.jäämästä'!P16*100</f>
        <v>-0.5</v>
      </c>
      <c r="F12" s="250">
        <f>'Poikkeama rak.jäämästä'!Q16*100</f>
        <v>0.528908046879631</v>
      </c>
      <c r="G12" s="250" t="str">
        <f>IF('Poikkeama rak.jäämästä'!R16=1,"Kyllä","Ei")</f>
        <v>Kyllä</v>
      </c>
      <c r="H12" s="250">
        <f>'rak. jäämään muutostavoite'!O18*100</f>
        <v>61.3</v>
      </c>
      <c r="I12" s="250">
        <f>'rak. jäämään muutostavoite'!P18*100</f>
        <v>2</v>
      </c>
      <c r="J12" s="250" t="str">
        <f>IF('Poikkeama rak.jäämästä'!R16=0,IF('rak. jäämään muutostavoite'!Q18=0,"Ei","Kyllä"),"-")</f>
        <v>-</v>
      </c>
      <c r="K12" s="250">
        <f>'rak. jäämään muutostavoite'!M18*100</f>
        <v>-0.25267242621975033</v>
      </c>
      <c r="L12" s="250">
        <f>'rak. jäämään muutostavoite'!R18*100</f>
        <v>0</v>
      </c>
      <c r="M12" s="250">
        <f>'rak. jäämään muutostavoite'!T18*100</f>
        <v>0</v>
      </c>
    </row>
    <row r="13" spans="2:14" x14ac:dyDescent="0.2">
      <c r="B13" s="251"/>
      <c r="C13" s="251"/>
      <c r="D13" s="251"/>
      <c r="E13" s="251"/>
      <c r="F13" s="251"/>
      <c r="G13" s="251"/>
      <c r="H13" s="251"/>
      <c r="I13" s="251"/>
      <c r="J13" s="251"/>
      <c r="K13" s="251"/>
      <c r="L13" s="251"/>
      <c r="M13" s="251"/>
      <c r="N13" s="251"/>
    </row>
    <row r="14" spans="2:14" x14ac:dyDescent="0.2">
      <c r="B14" s="251"/>
      <c r="C14" s="251"/>
      <c r="D14" s="251"/>
      <c r="E14" s="251"/>
      <c r="F14" s="251"/>
      <c r="G14" s="251"/>
      <c r="H14" s="251"/>
      <c r="I14" s="251"/>
      <c r="J14" s="251"/>
      <c r="K14" s="251"/>
      <c r="L14" s="251"/>
      <c r="M14" s="251"/>
      <c r="N14" s="251"/>
    </row>
    <row r="15" spans="2:14" x14ac:dyDescent="0.2">
      <c r="B15" s="251"/>
      <c r="C15" s="251"/>
      <c r="D15" s="251"/>
      <c r="E15" s="251"/>
      <c r="F15" s="251"/>
      <c r="G15" s="251"/>
      <c r="H15" s="251"/>
      <c r="I15" s="251"/>
      <c r="J15" s="251"/>
      <c r="K15" s="251"/>
      <c r="L15" s="251"/>
      <c r="M15" s="251"/>
      <c r="N15" s="251"/>
    </row>
    <row r="16" spans="2:14" ht="22.5" x14ac:dyDescent="0.3">
      <c r="B16" s="308" t="s">
        <v>407</v>
      </c>
      <c r="C16" s="308"/>
      <c r="D16" s="308"/>
      <c r="E16" s="308"/>
      <c r="F16" s="308"/>
      <c r="G16" s="308"/>
      <c r="H16" s="308"/>
      <c r="I16" s="308"/>
      <c r="J16" s="308"/>
      <c r="K16" s="308"/>
      <c r="L16" s="308"/>
      <c r="M16" s="308"/>
      <c r="N16" s="308"/>
    </row>
    <row r="17" spans="2:14" ht="42.75" customHeight="1" x14ac:dyDescent="0.2">
      <c r="B17" s="244"/>
      <c r="C17" s="244"/>
      <c r="D17" s="245" t="s">
        <v>320</v>
      </c>
      <c r="E17" s="244" t="s">
        <v>321</v>
      </c>
      <c r="F17" s="245" t="s">
        <v>322</v>
      </c>
      <c r="G17" s="246" t="s">
        <v>323</v>
      </c>
      <c r="H17" s="247" t="s">
        <v>324</v>
      </c>
      <c r="I17" s="245" t="s">
        <v>325</v>
      </c>
      <c r="J17" s="248" t="s">
        <v>326</v>
      </c>
      <c r="K17" s="245" t="s">
        <v>327</v>
      </c>
      <c r="L17" s="245" t="s">
        <v>328</v>
      </c>
      <c r="M17" s="247" t="s">
        <v>329</v>
      </c>
    </row>
    <row r="18" spans="2:14" x14ac:dyDescent="0.2">
      <c r="B18" s="244"/>
      <c r="C18" s="244"/>
      <c r="D18" s="245"/>
      <c r="E18" s="244"/>
      <c r="F18" s="244"/>
      <c r="G18" s="244"/>
      <c r="H18" s="247"/>
      <c r="I18" s="245"/>
      <c r="J18" s="245"/>
      <c r="K18" s="244"/>
      <c r="L18" s="244"/>
      <c r="M18" s="244"/>
    </row>
    <row r="19" spans="2:14" x14ac:dyDescent="0.2">
      <c r="B19" s="249">
        <v>2011</v>
      </c>
      <c r="C19" s="244"/>
      <c r="D19" s="250">
        <f>'Poikkeama rak.jäämästä'!B10*100</f>
        <v>-0.51060084736163203</v>
      </c>
      <c r="E19" s="250">
        <f>'Poikkeama rak.jäämästä'!C10*100</f>
        <v>0.5</v>
      </c>
      <c r="F19" s="250">
        <f>'Poikkeama rak.jäämästä'!D10*100</f>
        <v>-1.0106008473616319</v>
      </c>
      <c r="G19" s="250" t="str">
        <f>IF('Poikkeama rak.jäämästä'!E10=1,"Kyllä","Ei")</f>
        <v>Ei</v>
      </c>
      <c r="H19" s="250">
        <f>'rak. jäämään muutostavoite'!E12*100</f>
        <v>49.193100000000001</v>
      </c>
      <c r="I19" s="250">
        <f>'rak. jäämään muutostavoite'!F12*100</f>
        <v>2</v>
      </c>
      <c r="J19" s="250" t="str">
        <f>IF('Poikkeama rak.jäämästä'!E10=0,IF('rak. jäämään muutostavoite'!G12=0,"Ei","Kyllä"),"-")</f>
        <v>Ei</v>
      </c>
      <c r="K19" s="250">
        <f>'rak. jäämään muutostavoite'!C12*100</f>
        <v>-0.24515575969503381</v>
      </c>
      <c r="L19" s="250">
        <f>'rak. jäämään muutostavoite'!H12*100</f>
        <v>0.5</v>
      </c>
      <c r="M19" s="250">
        <f>'rak. jäämään muutostavoite'!J12*100</f>
        <v>0.5</v>
      </c>
    </row>
    <row r="20" spans="2:14" x14ac:dyDescent="0.2">
      <c r="B20" s="249">
        <v>2012</v>
      </c>
      <c r="C20" s="244"/>
      <c r="D20" s="250">
        <f>'Poikkeama rak.jäämästä'!B11*100</f>
        <v>-0.96444321072579398</v>
      </c>
      <c r="E20" s="250">
        <f>'Poikkeama rak.jäämästä'!C11*100</f>
        <v>0.5</v>
      </c>
      <c r="F20" s="250">
        <f>'Poikkeama rak.jäämästä'!D11*100</f>
        <v>-1.4644432107257941</v>
      </c>
      <c r="G20" s="250" t="str">
        <f>IF('Poikkeama rak.jäämästä'!E11=1,"Kyllä","Ei")</f>
        <v>Ei</v>
      </c>
      <c r="H20" s="250">
        <f>'rak. jäämään muutostavoite'!E13*100</f>
        <v>53.623600000000003</v>
      </c>
      <c r="I20" s="250">
        <f>'rak. jäämään muutostavoite'!F13*100</f>
        <v>2</v>
      </c>
      <c r="J20" s="250" t="str">
        <f>IF('Poikkeama rak.jäämästä'!E11=0,IF('rak. jäämään muutostavoite'!G13=0,"Ei","Kyllä"),"-")</f>
        <v>Ei</v>
      </c>
      <c r="K20" s="250">
        <f>'rak. jäämään muutostavoite'!C13*100</f>
        <v>-1.4811228099513318</v>
      </c>
      <c r="L20" s="250">
        <f>'rak. jäämään muutostavoite'!H13*100</f>
        <v>0.5</v>
      </c>
      <c r="M20" s="250">
        <f>'rak. jäämään muutostavoite'!J13*100</f>
        <v>0.5</v>
      </c>
    </row>
    <row r="21" spans="2:14" x14ac:dyDescent="0.2">
      <c r="B21" s="249">
        <v>2013</v>
      </c>
      <c r="C21" s="244"/>
      <c r="D21" s="250">
        <f>'Poikkeama rak.jäämästä'!B12*100</f>
        <v>-0.61998247809325358</v>
      </c>
      <c r="E21" s="250">
        <f>'Poikkeama rak.jäämästä'!C12*100</f>
        <v>-0.5</v>
      </c>
      <c r="F21" s="250">
        <f>'Poikkeama rak.jäämästä'!D12*100</f>
        <v>-0.11998247809325352</v>
      </c>
      <c r="G21" s="250" t="str">
        <f>IF('Poikkeama rak.jäämästä'!E12=1,"Kyllä","Ei")</f>
        <v>Kyllä</v>
      </c>
      <c r="H21" s="250">
        <f>'rak. jäämään muutostavoite'!E14*100</f>
        <v>57.165599999999998</v>
      </c>
      <c r="I21" s="250">
        <f>'rak. jäämään muutostavoite'!F14*100</f>
        <v>2</v>
      </c>
      <c r="J21" s="250" t="str">
        <f>IF('Poikkeama rak.jäämästä'!E12=0,IF('rak. jäämään muutostavoite'!G14=0,"Ei","Kyllä"),"-")</f>
        <v>-</v>
      </c>
      <c r="K21" s="250">
        <f>'rak. jäämään muutostavoite'!C14*100</f>
        <v>-2.8155993247116795</v>
      </c>
      <c r="L21" s="250">
        <f>'rak. jäämään muutostavoite'!H14*100</f>
        <v>0</v>
      </c>
      <c r="M21" s="250">
        <f>'rak. jäämään muutostavoite'!J14*100</f>
        <v>0</v>
      </c>
    </row>
    <row r="22" spans="2:14" x14ac:dyDescent="0.2">
      <c r="B22" s="249">
        <v>2014</v>
      </c>
      <c r="C22" s="244"/>
      <c r="D22" s="250">
        <f>'Poikkeama rak.jäämästä'!B13*100</f>
        <v>-0.83575187100202541</v>
      </c>
      <c r="E22" s="250">
        <f>'Poikkeama rak.jäämästä'!C13*100</f>
        <v>-0.5</v>
      </c>
      <c r="F22" s="250">
        <f>'Poikkeama rak.jäämästä'!D13*100</f>
        <v>-0.33575187100202536</v>
      </c>
      <c r="G22" s="250" t="str">
        <f>IF('Poikkeama rak.jäämästä'!E13=1,"Kyllä","Ei")</f>
        <v>Ei</v>
      </c>
      <c r="H22" s="250">
        <f>'rak. jäämään muutostavoite'!E15*100</f>
        <v>60.422699999999999</v>
      </c>
      <c r="I22" s="250">
        <f>'rak. jäämään muutostavoite'!F15*100</f>
        <v>2</v>
      </c>
      <c r="J22" s="250" t="str">
        <f>IF('Poikkeama rak.jäämästä'!E13=0,IF('rak. jäämään muutostavoite'!G15=0,"Ei","Kyllä"),"-")</f>
        <v>Kyllä</v>
      </c>
      <c r="K22" s="250">
        <f>'rak. jäämään muutostavoite'!C15*100</f>
        <v>-2.6039014135630532</v>
      </c>
      <c r="L22" s="250">
        <f>'rak. jäämään muutostavoite'!H15*100</f>
        <v>0.6</v>
      </c>
      <c r="M22" s="250">
        <f>'rak. jäämään muutostavoite'!J15*100</f>
        <v>0.33575187100202536</v>
      </c>
    </row>
    <row r="23" spans="2:14" x14ac:dyDescent="0.2">
      <c r="B23" s="249">
        <v>2015</v>
      </c>
      <c r="C23" s="244"/>
      <c r="D23" s="250"/>
      <c r="E23" s="250"/>
      <c r="F23" s="250"/>
      <c r="G23" s="250"/>
      <c r="H23" s="250"/>
      <c r="I23" s="250"/>
      <c r="J23" s="250"/>
      <c r="K23" s="250"/>
      <c r="L23" s="244"/>
      <c r="M23" s="250"/>
      <c r="N23" s="250"/>
    </row>
    <row r="24" spans="2:14" x14ac:dyDescent="0.2">
      <c r="B24" s="249">
        <v>2016</v>
      </c>
      <c r="C24" s="244"/>
      <c r="D24" s="250"/>
      <c r="E24" s="250"/>
      <c r="F24" s="250"/>
      <c r="G24" s="250"/>
      <c r="H24" s="250"/>
      <c r="I24" s="250"/>
      <c r="J24" s="250"/>
      <c r="K24" s="250"/>
      <c r="L24" s="244"/>
      <c r="M24" s="250"/>
      <c r="N24" s="250"/>
    </row>
    <row r="25" spans="2:14" x14ac:dyDescent="0.2">
      <c r="B25" s="249">
        <v>2017</v>
      </c>
      <c r="C25" s="244"/>
      <c r="D25" s="250"/>
      <c r="E25" s="250"/>
      <c r="F25" s="250"/>
      <c r="G25" s="250"/>
      <c r="H25" s="250"/>
      <c r="I25" s="250"/>
      <c r="J25" s="250"/>
      <c r="K25" s="250"/>
      <c r="L25" s="244"/>
      <c r="M25" s="250"/>
      <c r="N25" s="250"/>
    </row>
    <row r="26" spans="2:14" x14ac:dyDescent="0.2">
      <c r="B26" s="251"/>
      <c r="C26" s="251"/>
      <c r="D26" s="251"/>
      <c r="E26" s="251"/>
      <c r="F26" s="251"/>
      <c r="G26" s="251"/>
      <c r="H26" s="251"/>
      <c r="I26" s="251"/>
      <c r="J26" s="251"/>
      <c r="K26" s="251"/>
      <c r="L26" s="251"/>
      <c r="M26" s="251"/>
      <c r="N26" s="251"/>
    </row>
    <row r="28" spans="2:14" ht="22.5" x14ac:dyDescent="0.3">
      <c r="C28" s="308" t="s">
        <v>408</v>
      </c>
      <c r="D28" s="308"/>
      <c r="E28" s="308"/>
      <c r="F28" s="308"/>
      <c r="G28" s="308"/>
      <c r="H28" s="308"/>
      <c r="I28" s="308"/>
      <c r="J28" s="308"/>
      <c r="K28" s="308"/>
      <c r="L28" s="308"/>
      <c r="M28" s="308"/>
      <c r="N28" s="308"/>
    </row>
    <row r="29" spans="2:14" ht="57" x14ac:dyDescent="0.2">
      <c r="C29" s="51" t="s">
        <v>93</v>
      </c>
      <c r="D29" t="s">
        <v>109</v>
      </c>
      <c r="E29" s="51" t="s">
        <v>340</v>
      </c>
      <c r="F29" s="51" t="s">
        <v>341</v>
      </c>
      <c r="G29" s="51" t="s">
        <v>342</v>
      </c>
      <c r="H29" s="51" t="s">
        <v>343</v>
      </c>
      <c r="I29" s="51" t="s">
        <v>344</v>
      </c>
      <c r="J29" s="51" t="s">
        <v>345</v>
      </c>
      <c r="K29" s="51" t="s">
        <v>346</v>
      </c>
      <c r="L29" s="51" t="s">
        <v>110</v>
      </c>
    </row>
    <row r="31" spans="2:14" x14ac:dyDescent="0.2">
      <c r="B31">
        <v>2012</v>
      </c>
      <c r="C31" s="15">
        <f>'Poikkeama rak.jäämästä'!O11*100</f>
        <v>-1.0408279729568541</v>
      </c>
      <c r="D31" s="15">
        <f>'Poikkeama rak.jäämästä'!P11*100</f>
        <v>0.5</v>
      </c>
      <c r="E31" s="15" t="str">
        <f>IF('Poikkeama rak.jäämästä'!R11=1,"Kyllä","Ei")</f>
        <v>Ei</v>
      </c>
      <c r="F31" s="15">
        <f>'Poikkeama rak.jäämästä'!U11*100</f>
        <v>0.5</v>
      </c>
      <c r="G31" s="15">
        <f>'Poikkeama rak.jäämästä'!T11*100</f>
        <v>-0.42761490682322784</v>
      </c>
      <c r="H31" s="15">
        <f>'Poikkeama rak.jäämästä'!V11*100</f>
        <v>0.92761490682322778</v>
      </c>
      <c r="I31" s="15" t="str">
        <f>IF('Poikkeama rak.jäämästä'!W11=1,"Kyllä","Ei")</f>
        <v>Kyllä</v>
      </c>
      <c r="J31" s="15"/>
      <c r="K31" s="15"/>
      <c r="L31" s="15" t="str">
        <f>IF('Poikkeama rak.jäämästä'!Z11=1,"Kyllä","Ei")</f>
        <v>Kyllä</v>
      </c>
    </row>
    <row r="32" spans="2:14" x14ac:dyDescent="0.2">
      <c r="B32">
        <v>2013</v>
      </c>
      <c r="C32" s="15">
        <f>'Poikkeama rak.jäämästä'!O12*100</f>
        <v>-0.53131610992601042</v>
      </c>
      <c r="D32" s="15">
        <f>'Poikkeama rak.jäämästä'!P12*100</f>
        <v>-0.5</v>
      </c>
      <c r="E32" s="15" t="str">
        <f>IF('Poikkeama rak.jäämästä'!R12=1,"Kyllä","Ei")</f>
        <v>Kyllä</v>
      </c>
      <c r="F32" s="15">
        <f>'Poikkeama rak.jäämästä'!U12*100</f>
        <v>0.5</v>
      </c>
      <c r="G32" s="15">
        <f>'Poikkeama rak.jäämästä'!T12*100</f>
        <v>0.50951186303084361</v>
      </c>
      <c r="H32" s="15">
        <f>'Poikkeama rak.jäämästä'!V12*100</f>
        <v>-9.511863030843646E-3</v>
      </c>
      <c r="I32" s="15" t="str">
        <f>IF('Poikkeama rak.jäämästä'!W12=1,"Kyllä","Ei")</f>
        <v>Ei</v>
      </c>
      <c r="J32" s="15">
        <f>'Poikkeama rak.jäämästä'!X12*100</f>
        <v>0.45905152189619214</v>
      </c>
      <c r="K32" s="15" t="str">
        <f>IF('Poikkeama rak.jäämästä'!R12=1,"MTO saavutettu",IF('Poikkeama rak.jäämästä'!Y12=1,"Kyllä","Ei"))</f>
        <v>MTO saavutettu</v>
      </c>
      <c r="L32" s="15" t="str">
        <f>IF('Poikkeama rak.jäämästä'!Z12=1,"Kyllä","Ei")</f>
        <v>Ei</v>
      </c>
    </row>
    <row r="33" spans="2:14" x14ac:dyDescent="0.2">
      <c r="B33">
        <v>2014</v>
      </c>
      <c r="C33" s="15">
        <f>'Poikkeama rak.jäämästä'!O13*100</f>
        <v>-0.77084536635819234</v>
      </c>
      <c r="D33" s="15">
        <f>'Poikkeama rak.jäämästä'!P13*100</f>
        <v>-0.5</v>
      </c>
      <c r="E33" s="15" t="str">
        <f>IF('Poikkeama rak.jäämästä'!R13=1,"Kyllä","Ei")</f>
        <v>Ei</v>
      </c>
      <c r="F33" s="15">
        <f>'Poikkeama rak.jäämästä'!U13*100</f>
        <v>0</v>
      </c>
      <c r="G33" s="15">
        <f>'Poikkeama rak.jäämästä'!T13*100</f>
        <v>-0.23952925643218195</v>
      </c>
      <c r="H33" s="15">
        <f>'Poikkeama rak.jäämästä'!V13*100</f>
        <v>0.23952925643218195</v>
      </c>
      <c r="I33" s="15" t="str">
        <f>IF('Poikkeama rak.jäämästä'!W13=1,"Kyllä","Ei")</f>
        <v>Ei</v>
      </c>
      <c r="J33" s="15">
        <f>'Poikkeama rak.jäämästä'!X13*100</f>
        <v>0.11500869670066916</v>
      </c>
      <c r="K33" s="15" t="str">
        <f>IF('Poikkeama rak.jäämästä'!R13=1,"MTO saavutettu",IF('Poikkeama rak.jäämästä'!Y13=1,"Kyllä","Ei"))</f>
        <v>Ei</v>
      </c>
      <c r="L33" s="15" t="str">
        <f>IF('Poikkeama rak.jäämästä'!Z13=1,"Kyllä","Ei")</f>
        <v>Ei</v>
      </c>
    </row>
    <row r="34" spans="2:14" x14ac:dyDescent="0.2">
      <c r="B34">
        <v>2015</v>
      </c>
      <c r="C34" s="15">
        <f>'Poikkeama rak.jäämästä'!O14*100</f>
        <v>-0.2124261747870578</v>
      </c>
      <c r="D34" s="15">
        <f>'Poikkeama rak.jäämästä'!P14*100</f>
        <v>-0.5</v>
      </c>
      <c r="E34" s="15" t="str">
        <f>IF('Poikkeama rak.jäämästä'!R14=1,"Kyllä","Ei")</f>
        <v>Kyllä</v>
      </c>
      <c r="F34" s="15">
        <f>'Poikkeama rak.jäämästä'!U14*100</f>
        <v>0.1</v>
      </c>
      <c r="G34" s="15">
        <f>'Poikkeama rak.jäämästä'!T14*100</f>
        <v>0.55841919157113462</v>
      </c>
      <c r="H34" s="15">
        <f>'Poikkeama rak.jäämästä'!V14*100</f>
        <v>-0.45841919157113459</v>
      </c>
      <c r="I34" s="15" t="str">
        <f>IF('Poikkeama rak.jäämästä'!W14=1,"Kyllä","Ei")</f>
        <v>Ei</v>
      </c>
      <c r="J34" s="15">
        <f>'Poikkeama rak.jäämästä'!X14*100</f>
        <v>-0.1094449675694763</v>
      </c>
      <c r="K34" s="15" t="str">
        <f>IF('Poikkeama rak.jäämästä'!R14=1,"MTO saavutettu",IF('Poikkeama rak.jäämästä'!Y14=1,"Kyllä","Ei"))</f>
        <v>MTO saavutettu</v>
      </c>
      <c r="L34" s="15" t="str">
        <f>IF('Poikkeama rak.jäämästä'!Z14=1,"Kyllä","Ei")</f>
        <v>Ei</v>
      </c>
    </row>
    <row r="35" spans="2:14" x14ac:dyDescent="0.2">
      <c r="B35">
        <v>2016</v>
      </c>
      <c r="C35" s="15">
        <f>'Poikkeama rak.jäämästä'!O15*100</f>
        <v>-0.19571231554127261</v>
      </c>
      <c r="D35" s="15">
        <f>'Poikkeama rak.jäämästä'!P15*100</f>
        <v>-0.5</v>
      </c>
      <c r="E35" s="15" t="str">
        <f>IF('Poikkeama rak.jäämästä'!R15=1,"Kyllä","Ei")</f>
        <v>Kyllä</v>
      </c>
      <c r="F35" s="15">
        <f>'Poikkeama rak.jäämästä'!U15*100</f>
        <v>0</v>
      </c>
      <c r="G35" s="15">
        <f>'Poikkeama rak.jäämästä'!T15*100</f>
        <v>1.6713859245785216E-2</v>
      </c>
      <c r="H35" s="15">
        <f>'Poikkeama rak.jäämästä'!V15*100</f>
        <v>-1.6713859245785216E-2</v>
      </c>
      <c r="I35" s="15" t="str">
        <f>IF('Poikkeama rak.jäämästä'!W15=1,"Kyllä","Ei")</f>
        <v>Ei</v>
      </c>
      <c r="J35" s="15">
        <f>'Poikkeama rak.jäämästä'!X15*100</f>
        <v>-0.23756652540845988</v>
      </c>
      <c r="K35" s="15" t="str">
        <f>IF('Poikkeama rak.jäämästä'!R15=1,"MTO saavutettu",IF('Poikkeama rak.jäämästä'!Y15=1,"Kyllä","Ei"))</f>
        <v>MTO saavutettu</v>
      </c>
      <c r="L35" s="15" t="str">
        <f>IF('Poikkeama rak.jäämästä'!Z15=1,"Kyllä","Ei")</f>
        <v>Ei</v>
      </c>
    </row>
    <row r="36" spans="2:14" x14ac:dyDescent="0.2">
      <c r="B36">
        <v>2017</v>
      </c>
      <c r="C36" s="15">
        <f>'Poikkeama rak.jäämästä'!O16*100</f>
        <v>2.8908046879630944E-2</v>
      </c>
      <c r="D36" s="15">
        <f>'Poikkeama rak.jäämästä'!P16*100</f>
        <v>-0.5</v>
      </c>
      <c r="E36" s="15" t="str">
        <f>IF('Poikkeama rak.jäämästä'!R16=1,"Kyllä","Ei")</f>
        <v>Kyllä</v>
      </c>
      <c r="F36" s="15">
        <f>'Poikkeama rak.jäämästä'!U16*100</f>
        <v>0</v>
      </c>
      <c r="G36" s="15">
        <f>'Poikkeama rak.jäämästä'!T16*100</f>
        <v>0.22462036242090355</v>
      </c>
      <c r="H36" s="15">
        <f>'Poikkeama rak.jäämästä'!V16*100</f>
        <v>-0.22462036242090355</v>
      </c>
      <c r="I36" s="15" t="str">
        <f>IF('Poikkeama rak.jäämästä'!W16=1,"Kyllä","Ei")</f>
        <v>Ei</v>
      </c>
      <c r="J36" s="15">
        <f>'Poikkeama rak.jäämästä'!X16*100</f>
        <v>-0.12066711083334439</v>
      </c>
      <c r="K36" s="15" t="str">
        <f>IF('Poikkeama rak.jäämästä'!R16=1,"MTO saavutettu",IF('Poikkeama rak.jäämästä'!Y16=1,"Kyllä","Ei"))</f>
        <v>MTO saavutettu</v>
      </c>
      <c r="L36" s="15" t="str">
        <f>IF('Poikkeama rak.jäämästä'!Z16=1,"Kyllä","Ei")</f>
        <v>Ei</v>
      </c>
    </row>
    <row r="37" spans="2:14" x14ac:dyDescent="0.2">
      <c r="B37">
        <v>2018</v>
      </c>
      <c r="C37" s="15">
        <f>'Poikkeama rak.jäämästä'!O17*100</f>
        <v>0.21195997201636335</v>
      </c>
      <c r="D37" s="15">
        <f>'Poikkeama rak.jäämästä'!P17*100</f>
        <v>-0.5</v>
      </c>
      <c r="E37" s="15" t="str">
        <f>IF('Poikkeama rak.jäämästä'!R17=1,"Kyllä","Ei")</f>
        <v>Kyllä</v>
      </c>
      <c r="F37" s="15">
        <f>'Poikkeama rak.jäämästä'!U17*100</f>
        <v>0</v>
      </c>
      <c r="G37" s="15">
        <f>'Poikkeama rak.jäämästä'!T17*100</f>
        <v>0.18305192513673241</v>
      </c>
      <c r="H37" s="15">
        <f>'Poikkeama rak.jäämästä'!V17*100</f>
        <v>-0.18305192513673241</v>
      </c>
      <c r="I37" s="15" t="str">
        <f>IF('Poikkeama rak.jäämästä'!W17=1,"Kyllä","Ei")</f>
        <v>Ei</v>
      </c>
      <c r="J37" s="15">
        <f>'Poikkeama rak.jäämästä'!X17*100</f>
        <v>-0.20383614377881798</v>
      </c>
      <c r="K37" s="15" t="str">
        <f>IF('Poikkeama rak.jäämästä'!R17=1,"MTO saavutettu",IF('Poikkeama rak.jäämästä'!Y17=1,"Kyllä","Ei"))</f>
        <v>MTO saavutettu</v>
      </c>
      <c r="L37" s="15" t="str">
        <f>IF('Poikkeama rak.jäämästä'!Z17=1,"Kyllä","Ei")</f>
        <v>Ei</v>
      </c>
    </row>
    <row r="42" spans="2:14" ht="22.5" x14ac:dyDescent="0.3">
      <c r="B42" s="140"/>
      <c r="C42" s="308" t="s">
        <v>409</v>
      </c>
      <c r="D42" s="308"/>
      <c r="E42" s="308"/>
      <c r="F42" s="308"/>
      <c r="G42" s="308"/>
      <c r="H42" s="308"/>
      <c r="I42" s="308"/>
      <c r="J42" s="308"/>
      <c r="K42" s="308"/>
      <c r="L42" s="308"/>
      <c r="M42" s="308"/>
      <c r="N42" s="308"/>
    </row>
    <row r="43" spans="2:14" ht="57" x14ac:dyDescent="0.2">
      <c r="B43" s="140"/>
      <c r="C43" s="51" t="s">
        <v>93</v>
      </c>
      <c r="D43" s="140" t="s">
        <v>109</v>
      </c>
      <c r="E43" s="51" t="s">
        <v>340</v>
      </c>
      <c r="F43" s="51" t="s">
        <v>341</v>
      </c>
      <c r="G43" s="51" t="s">
        <v>342</v>
      </c>
      <c r="H43" s="51" t="s">
        <v>343</v>
      </c>
      <c r="I43" s="51" t="s">
        <v>344</v>
      </c>
      <c r="J43" s="51" t="s">
        <v>345</v>
      </c>
      <c r="K43" s="51" t="s">
        <v>346</v>
      </c>
      <c r="L43" s="51" t="s">
        <v>110</v>
      </c>
      <c r="M43" s="140"/>
      <c r="N43" s="140"/>
    </row>
    <row r="44" spans="2:14" x14ac:dyDescent="0.2">
      <c r="B44" s="140"/>
      <c r="C44" s="140"/>
      <c r="D44" s="140"/>
      <c r="E44" s="140"/>
      <c r="F44" s="140"/>
      <c r="G44" s="140"/>
      <c r="H44" s="140"/>
      <c r="I44" s="140"/>
      <c r="J44" s="140"/>
      <c r="K44" s="140"/>
      <c r="L44" s="140"/>
      <c r="M44" s="140"/>
      <c r="N44" s="140"/>
    </row>
    <row r="45" spans="2:14" x14ac:dyDescent="0.2">
      <c r="B45" s="140">
        <v>2012</v>
      </c>
      <c r="C45" s="15">
        <f>'Poikkeama rak.jäämästä'!B11*100</f>
        <v>-0.96444321072579398</v>
      </c>
      <c r="D45" s="15">
        <f>'Poikkeama rak.jäämästä'!C11*100</f>
        <v>0.5</v>
      </c>
      <c r="E45" s="15" t="str">
        <f>IF('Poikkeama rak.jäämästä'!E11=1,"Kyllä","Ei")</f>
        <v>Ei</v>
      </c>
      <c r="F45" s="15">
        <f>'Poikkeama rak.jäämästä'!H11*100</f>
        <v>0.5</v>
      </c>
      <c r="G45" s="15">
        <f>'Poikkeama rak.jäämästä'!G11*100</f>
        <v>-0.453842363364162</v>
      </c>
      <c r="H45" s="15">
        <f>'Poikkeama rak.jäämästä'!I11*100</f>
        <v>0.95384236336416195</v>
      </c>
      <c r="I45" s="15" t="str">
        <f>IF('Poikkeama rak.jäämästä'!J11=1,"Kyllä","Ei")</f>
        <v>Kyllä</v>
      </c>
      <c r="J45" s="15"/>
      <c r="K45" s="15"/>
      <c r="L45" s="15" t="str">
        <f>IF('Poikkeama rak.jäämästä'!M11=1,"Kyllä","Ei")</f>
        <v>Kyllä</v>
      </c>
      <c r="M45" s="140"/>
      <c r="N45" s="140"/>
    </row>
    <row r="46" spans="2:14" x14ac:dyDescent="0.2">
      <c r="B46" s="140">
        <v>2013</v>
      </c>
      <c r="C46" s="15">
        <f>'Poikkeama rak.jäämästä'!B12*100</f>
        <v>-0.61998247809325358</v>
      </c>
      <c r="D46" s="15">
        <f>'Poikkeama rak.jäämästä'!C12*100</f>
        <v>-0.5</v>
      </c>
      <c r="E46" s="15" t="str">
        <f>IF('Poikkeama rak.jäämästä'!E12=1,"Kyllä","Ei")</f>
        <v>Kyllä</v>
      </c>
      <c r="F46" s="15">
        <f>'Poikkeama rak.jäämästä'!H12*100</f>
        <v>0.5</v>
      </c>
      <c r="G46" s="15">
        <f>'Poikkeama rak.jäämästä'!G12*100</f>
        <v>0.34446073263254046</v>
      </c>
      <c r="H46" s="15">
        <f>'Poikkeama rak.jäämästä'!I12*100</f>
        <v>0.15553926736745954</v>
      </c>
      <c r="I46" s="15" t="str">
        <f>IF('Poikkeama rak.jäämästä'!J12=1,"Kyllä","Ei")</f>
        <v>Ei</v>
      </c>
      <c r="J46" s="15">
        <f>'Poikkeama rak.jäämästä'!K12*100</f>
        <v>0.55469081536581066</v>
      </c>
      <c r="K46" s="15" t="str">
        <f>IF('Poikkeama rak.jäämästä'!E12=1,"MTO saavutettu",IF('Poikkeama rak.jäämästä'!L12=1,"Kyllä","Ei"))</f>
        <v>MTO saavutettu</v>
      </c>
      <c r="L46" s="15" t="str">
        <f>IF('Poikkeama rak.jäämästä'!M12=1,"Kyllä","Ei")</f>
        <v>Ei</v>
      </c>
      <c r="M46" s="140"/>
      <c r="N46" s="140"/>
    </row>
    <row r="47" spans="2:14" x14ac:dyDescent="0.2">
      <c r="B47" s="140">
        <v>2014</v>
      </c>
      <c r="C47" s="15">
        <f>'Poikkeama rak.jäämästä'!B13*100</f>
        <v>-0.83575187100202541</v>
      </c>
      <c r="D47" s="15">
        <f>'Poikkeama rak.jäämästä'!C13*100</f>
        <v>-0.5</v>
      </c>
      <c r="E47" s="15" t="str">
        <f>IF('Poikkeama rak.jäämästä'!E13=1,"Kyllä","Ei")</f>
        <v>Ei</v>
      </c>
      <c r="F47" s="15">
        <f>'Poikkeama rak.jäämästä'!H13*100</f>
        <v>0</v>
      </c>
      <c r="G47" s="15">
        <f>'Poikkeama rak.jäämästä'!G13*100</f>
        <v>-0.21576939290877187</v>
      </c>
      <c r="H47" s="15">
        <f>'Poikkeama rak.jäämästä'!I13*100</f>
        <v>0.21576939290877187</v>
      </c>
      <c r="I47" s="15" t="str">
        <f>IF('Poikkeama rak.jäämästä'!J13=1,"Kyllä","Ei")</f>
        <v>Ei</v>
      </c>
      <c r="J47" s="15">
        <f>'Poikkeama rak.jäämästä'!K13*100</f>
        <v>0.18565433013811569</v>
      </c>
      <c r="K47" s="15" t="str">
        <f>IF('Poikkeama rak.jäämästä'!E13=1,"MTO saavutettu",IF('Poikkeama rak.jäämästä'!L13=1,"Kyllä","Ei"))</f>
        <v>Ei</v>
      </c>
      <c r="L47" s="15" t="str">
        <f>IF('Poikkeama rak.jäämästä'!M13=1,"Kyllä","Ei")</f>
        <v>Ei</v>
      </c>
      <c r="M47" s="140"/>
      <c r="N47" s="140"/>
    </row>
    <row r="48" spans="2:14" x14ac:dyDescent="0.2">
      <c r="B48" s="140">
        <v>2015</v>
      </c>
      <c r="C48" s="15"/>
      <c r="D48" s="15"/>
      <c r="E48" s="15"/>
      <c r="F48" s="15">
        <f>'Poikkeama rak.jäämästä'!H14*100</f>
        <v>0.33575187100202536</v>
      </c>
      <c r="G48" s="15"/>
      <c r="H48" s="15"/>
      <c r="I48" s="15"/>
      <c r="J48" s="15"/>
      <c r="K48" s="15"/>
      <c r="L48" s="15"/>
      <c r="M48" s="140"/>
      <c r="N48" s="140"/>
    </row>
    <row r="49" spans="2:14" x14ac:dyDescent="0.2">
      <c r="B49" s="140">
        <v>2016</v>
      </c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40"/>
      <c r="N49" s="140"/>
    </row>
    <row r="50" spans="2:14" x14ac:dyDescent="0.2">
      <c r="B50" s="140">
        <v>2017</v>
      </c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40"/>
      <c r="N50" s="140"/>
    </row>
    <row r="51" spans="2:14" x14ac:dyDescent="0.2">
      <c r="B51" s="140">
        <v>2018</v>
      </c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40"/>
      <c r="N51" s="140"/>
    </row>
    <row r="52" spans="2:14" x14ac:dyDescent="0.2">
      <c r="B52" s="140"/>
      <c r="C52" s="140"/>
      <c r="D52" s="140"/>
      <c r="E52" s="140"/>
      <c r="F52" s="140"/>
      <c r="G52" s="140"/>
      <c r="H52" s="140"/>
      <c r="I52" s="140"/>
      <c r="J52" s="140"/>
      <c r="K52" s="140"/>
      <c r="L52" s="140"/>
      <c r="M52" s="140"/>
      <c r="N52" s="140"/>
    </row>
    <row r="55" spans="2:14" ht="22.5" x14ac:dyDescent="0.3">
      <c r="C55" s="308" t="s">
        <v>410</v>
      </c>
      <c r="D55" s="308"/>
      <c r="E55" s="308"/>
      <c r="F55" s="308"/>
      <c r="G55" s="308"/>
      <c r="H55" s="308"/>
      <c r="I55" s="308"/>
      <c r="J55" s="308"/>
      <c r="K55" s="308"/>
      <c r="L55" s="308"/>
    </row>
    <row r="56" spans="2:14" ht="85.5" x14ac:dyDescent="0.2">
      <c r="C56" s="51" t="s">
        <v>253</v>
      </c>
      <c r="D56" s="51" t="s">
        <v>254</v>
      </c>
      <c r="E56" s="51" t="s">
        <v>351</v>
      </c>
      <c r="F56" s="51" t="s">
        <v>258</v>
      </c>
      <c r="G56" s="51" t="s">
        <v>255</v>
      </c>
      <c r="H56" s="51" t="s">
        <v>256</v>
      </c>
      <c r="I56" s="51" t="s">
        <v>356</v>
      </c>
      <c r="J56" s="51" t="s">
        <v>260</v>
      </c>
      <c r="K56" s="51" t="s">
        <v>261</v>
      </c>
      <c r="L56" s="51" t="s">
        <v>358</v>
      </c>
    </row>
    <row r="57" spans="2:14" x14ac:dyDescent="0.2">
      <c r="B57" s="92">
        <v>2012</v>
      </c>
      <c r="C57" s="15">
        <f>'Menosäännön menojen laskenta'!B6</f>
        <v>108.309</v>
      </c>
      <c r="D57" s="15">
        <f>'Menosäännön menojen laskenta'!C6</f>
        <v>2.0139999999999998</v>
      </c>
      <c r="E57" s="15">
        <f>'Menosäännön menojen laskenta'!G6</f>
        <v>1.173</v>
      </c>
      <c r="F57" s="15">
        <f>'Menosäännön menojen laskenta'!H6</f>
        <v>0.36372986318631739</v>
      </c>
      <c r="G57" s="15">
        <f>'Menosäännön menojen laskenta'!E6</f>
        <v>5.0259999999999998</v>
      </c>
      <c r="H57" s="15">
        <f>'Menosäännön menojen laskenta'!F6</f>
        <v>4.7760000000000007</v>
      </c>
      <c r="I57" s="15">
        <f>'Menosäännön menojen laskenta'!I6</f>
        <v>104.50827013681368</v>
      </c>
      <c r="J57" s="15">
        <f>'Menosäännön menojen laskenta'!J6</f>
        <v>0.61838634208763577</v>
      </c>
      <c r="K57" s="15">
        <f>'Menosäännön menojen laskenta'!K6</f>
        <v>0</v>
      </c>
      <c r="L57" s="15">
        <f>'Menosäännön menojen laskenta'!L6</f>
        <v>103.88988379472605</v>
      </c>
    </row>
    <row r="58" spans="2:14" x14ac:dyDescent="0.2">
      <c r="B58" s="92">
        <v>2013</v>
      </c>
      <c r="C58" s="15">
        <f>'Menosäännön menojen laskenta'!B7</f>
        <v>112.218</v>
      </c>
      <c r="D58" s="15">
        <f>'Menosäännön menojen laskenta'!C7</f>
        <v>1.84</v>
      </c>
      <c r="E58" s="15">
        <f>'Menosäännön menojen laskenta'!G7</f>
        <v>1.209357</v>
      </c>
      <c r="F58" s="15">
        <f>'Menosäännön menojen laskenta'!H7</f>
        <v>0.58359890201131759</v>
      </c>
      <c r="G58" s="15">
        <f>'Menosäännön menojen laskenta'!E7</f>
        <v>5.4459999999999997</v>
      </c>
      <c r="H58" s="15">
        <f>'Menosäännön menojen laskenta'!F7</f>
        <v>4.9192499999999999</v>
      </c>
      <c r="I58" s="15">
        <f>'Menosäännön menojen laskenta'!I7</f>
        <v>108.05829409798869</v>
      </c>
      <c r="J58" s="15">
        <f>'Menosäännön menojen laskenta'!J7</f>
        <v>1.4555308824827462</v>
      </c>
      <c r="K58" s="15">
        <f>'Menosäännön menojen laskenta'!K7</f>
        <v>0.44</v>
      </c>
      <c r="L58" s="15">
        <f>'Menosäännön menojen laskenta'!L7</f>
        <v>106.16276321550595</v>
      </c>
    </row>
    <row r="59" spans="2:14" x14ac:dyDescent="0.2">
      <c r="B59" s="92" t="s">
        <v>348</v>
      </c>
      <c r="C59" s="15">
        <f>'Menosäännön menojen laskenta'!B8</f>
        <v>115.33775845828779</v>
      </c>
      <c r="D59" s="15">
        <f>'Menosäännön menojen laskenta'!C8</f>
        <v>1.9848749999999999</v>
      </c>
      <c r="E59" s="15">
        <f>'Menosäännön menojen laskenta'!G8</f>
        <v>0.90900000000000003</v>
      </c>
      <c r="F59" s="15">
        <f>'Menosäännön menojen laskenta'!H8</f>
        <v>0.66121060962574896</v>
      </c>
      <c r="G59" s="15">
        <f>'Menosäännön menojen laskenta'!E8</f>
        <v>5.4840959499999986</v>
      </c>
      <c r="H59" s="15">
        <f>'Menosäännön menojen laskenta'!F8</f>
        <v>5.1760239874999998</v>
      </c>
      <c r="I59" s="15">
        <f>'Menosäännön menojen laskenta'!I8</f>
        <v>111.47460088616204</v>
      </c>
      <c r="J59" s="15">
        <f>'Menosäännön menojen laskenta'!J8</f>
        <v>0.78542465983562626</v>
      </c>
      <c r="K59" s="15">
        <f>'Menosäännön menojen laskenta'!K8</f>
        <v>0</v>
      </c>
      <c r="L59" s="15">
        <f>'Menosäännön menojen laskenta'!L8</f>
        <v>110.68917622632641</v>
      </c>
    </row>
    <row r="60" spans="2:14" x14ac:dyDescent="0.2">
      <c r="B60" s="92" t="s">
        <v>349</v>
      </c>
      <c r="C60" s="15">
        <f>'Menosäännön menojen laskenta'!B9</f>
        <v>117.54910989029794</v>
      </c>
      <c r="D60" s="15">
        <f>'Menosäännön menojen laskenta'!C9</f>
        <v>2.16357</v>
      </c>
      <c r="E60" s="15">
        <f>'Menosäännön menojen laskenta'!G9</f>
        <v>1.2590000000000001</v>
      </c>
      <c r="F60" s="15">
        <f>'Menosäännön menojen laskenta'!H9</f>
        <v>0.55811853195734262</v>
      </c>
      <c r="G60" s="15">
        <f>'Menosäännön menojen laskenta'!E9</f>
        <v>5.4706788495270002</v>
      </c>
      <c r="H60" s="15">
        <f>'Menosäännön menojen laskenta'!F9</f>
        <v>5.3566936998817498</v>
      </c>
      <c r="I60" s="15">
        <f>'Menosäännön menojen laskenta'!I9</f>
        <v>113.45443620869533</v>
      </c>
      <c r="J60" s="15">
        <f>'Menosäännön menojen laskenta'!J9</f>
        <v>1.1273996784716283</v>
      </c>
      <c r="K60" s="15">
        <f>'Menosäännön menojen laskenta'!K9</f>
        <v>0</v>
      </c>
      <c r="L60" s="15">
        <f>'Menosäännön menojen laskenta'!L9</f>
        <v>112.32703653022369</v>
      </c>
    </row>
    <row r="64" spans="2:14" ht="22.5" x14ac:dyDescent="0.3">
      <c r="B64" s="308" t="s">
        <v>402</v>
      </c>
      <c r="C64" s="308"/>
      <c r="D64" s="308"/>
      <c r="E64" s="308"/>
      <c r="F64" s="308"/>
      <c r="G64" s="308"/>
      <c r="H64" s="308"/>
      <c r="I64" s="308"/>
      <c r="J64" s="308"/>
    </row>
    <row r="65" spans="2:10" ht="42.75" x14ac:dyDescent="0.2">
      <c r="B65" s="271" t="s">
        <v>359</v>
      </c>
      <c r="C65" s="51" t="s">
        <v>370</v>
      </c>
      <c r="D65" s="51" t="s">
        <v>371</v>
      </c>
      <c r="E65" s="51" t="s">
        <v>300</v>
      </c>
      <c r="F65" s="51" t="s">
        <v>365</v>
      </c>
      <c r="G65" s="51" t="s">
        <v>366</v>
      </c>
      <c r="H65" s="51" t="s">
        <v>367</v>
      </c>
      <c r="I65" s="51" t="s">
        <v>368</v>
      </c>
      <c r="J65" s="271" t="s">
        <v>369</v>
      </c>
    </row>
    <row r="66" spans="2:10" x14ac:dyDescent="0.2">
      <c r="B66" s="24" t="s">
        <v>360</v>
      </c>
      <c r="C66" s="73">
        <f>Menosääntö!AF6*100</f>
        <v>0.49999999999999978</v>
      </c>
      <c r="D66" s="73">
        <f>Menosääntö!AE6*100</f>
        <v>1.4</v>
      </c>
      <c r="E66" s="24" t="str">
        <f>IF('Poikkeama rak.jäämästä'!R10=0,"Ei","Kyllä")</f>
        <v>Ei</v>
      </c>
      <c r="F66" s="19">
        <f>'Poikkeama menosäännöstä'!U6*100</f>
        <v>1.5006271175367569</v>
      </c>
      <c r="G66" s="73">
        <f>'Poikkeama menosäännöstä'!W6*100</f>
        <v>1.0006271175367571</v>
      </c>
      <c r="H66" s="19">
        <f>'Poikkeama menosäännöstä'!Z6*100</f>
        <v>0.51896402334586733</v>
      </c>
      <c r="I66" s="19" t="s">
        <v>246</v>
      </c>
      <c r="J66" s="24" t="s">
        <v>246</v>
      </c>
    </row>
    <row r="67" spans="2:10" x14ac:dyDescent="0.2">
      <c r="B67" s="24" t="s">
        <v>361</v>
      </c>
      <c r="C67" s="73">
        <f>Menosääntö!AF7*100</f>
        <v>0.50005564663100199</v>
      </c>
      <c r="D67" s="73">
        <f>Menosääntö!AE7*100</f>
        <v>1.4</v>
      </c>
      <c r="E67" s="24" t="str">
        <f>IF('Poikkeama rak.jäämästä'!R11=0,"Ei","Kyllä")</f>
        <v>Ei</v>
      </c>
      <c r="F67" s="19">
        <f>'Poikkeama menosäännöstä'!U7*100</f>
        <v>-0.40870423833037073</v>
      </c>
      <c r="G67" s="73">
        <f>'Poikkeama menosäännöstä'!W7*100</f>
        <v>-0.90875988496137272</v>
      </c>
      <c r="H67" s="19">
        <f>'Poikkeama menosäännöstä'!Z7*100</f>
        <v>-0.49096076646372755</v>
      </c>
      <c r="I67" s="19">
        <f>'Poikkeama menosäännöstä'!AB7*100</f>
        <v>1.4001628441069874E-2</v>
      </c>
      <c r="J67" s="24" t="str">
        <f>IF('Poikkeama menosäännöstä'!AF7=1,"Kyllä","Ei")</f>
        <v>Ei</v>
      </c>
    </row>
    <row r="68" spans="2:10" x14ac:dyDescent="0.2">
      <c r="B68" s="24" t="s">
        <v>348</v>
      </c>
      <c r="C68" s="73">
        <f>Menosääntö!AF8*100</f>
        <v>-9.9944353368997846E-2</v>
      </c>
      <c r="D68" s="73">
        <f>Menosääntö!AE8*100</f>
        <v>0.8</v>
      </c>
      <c r="E68" s="24" t="str">
        <f>IF('Poikkeama rak.jäämästä'!R12=0,"Ei","Kyllä")</f>
        <v>Kyllä</v>
      </c>
      <c r="F68" s="19">
        <f>'Poikkeama menosäännöstä'!U8*100</f>
        <v>0.37696014030192959</v>
      </c>
      <c r="G68" s="73">
        <f>'Poikkeama menosäännöstä'!W8*100</f>
        <v>-0.42303985969807045</v>
      </c>
      <c r="H68" s="19">
        <f>'Poikkeama menosäännöstä'!Z8*100</f>
        <v>-0.23152224808438163</v>
      </c>
      <c r="I68" s="19">
        <f>'Poikkeama menosäännöstä'!AB8*100</f>
        <v>-0.36124150727405463</v>
      </c>
      <c r="J68" s="24" t="str">
        <f>IF('Poikkeama menosäännöstä'!AF8=1,"Kyllä","Ei")</f>
        <v>Ei</v>
      </c>
    </row>
    <row r="69" spans="2:10" x14ac:dyDescent="0.2">
      <c r="B69" s="24" t="s">
        <v>349</v>
      </c>
      <c r="C69" s="73">
        <f>Menosääntö!AF9*100</f>
        <v>-9.9944353368997846E-2</v>
      </c>
      <c r="D69" s="73">
        <f>Menosääntö!AE9*100</f>
        <v>0.8</v>
      </c>
      <c r="E69" s="24" t="str">
        <f>IF('Poikkeama rak.jäämästä'!R13=0,"Ei","Kyllä")</f>
        <v>Ei</v>
      </c>
      <c r="F69" s="19">
        <f>'Poikkeama menosäännöstä'!U9*100</f>
        <v>-1.2110877792461006</v>
      </c>
      <c r="G69" s="73">
        <f>'Poikkeama menosäännöstä'!W9*100</f>
        <v>-1.1111434258771027</v>
      </c>
      <c r="H69" s="19">
        <f>'Poikkeama menosäännöstä'!Z9*100</f>
        <v>-0.61022905883815737</v>
      </c>
      <c r="I69" s="19">
        <f>'Poikkeama menosäännöstä'!AB9*100</f>
        <v>-0.42087565346126943</v>
      </c>
      <c r="J69" s="24" t="str">
        <f>IF('Poikkeama menosäännöstä'!AF9=1,"Kyllä","Ei")</f>
        <v>Ei</v>
      </c>
    </row>
    <row r="70" spans="2:10" x14ac:dyDescent="0.2">
      <c r="B70" s="24" t="s">
        <v>362</v>
      </c>
      <c r="C70" s="73">
        <f>Menosääntö!AF10*100</f>
        <v>-9.9944353368997846E-2</v>
      </c>
      <c r="D70" s="73">
        <f>Menosääntö!AE10*100</f>
        <v>0.8</v>
      </c>
      <c r="E70" s="24" t="str">
        <f>IF('Poikkeama rak.jäämästä'!R14=0,"Ei","Kyllä")</f>
        <v>Kyllä</v>
      </c>
      <c r="F70" s="19">
        <f>'Poikkeama menosäännöstä'!U10*100</f>
        <v>0.39088452507745064</v>
      </c>
      <c r="G70" s="73">
        <f>'Poikkeama menosäännöstä'!W10*100</f>
        <v>-0.4091154749225494</v>
      </c>
      <c r="H70" s="19">
        <f>'Poikkeama menosäännöstä'!Z10*100</f>
        <v>-0.22139589787149566</v>
      </c>
      <c r="I70" s="19">
        <f>'Poikkeama menosäännöstä'!AB10*100</f>
        <v>-0.41581247835482654</v>
      </c>
      <c r="J70" s="24" t="str">
        <f>IF('Poikkeama menosäännöstä'!AF10=1,"Kyllä","Ei")</f>
        <v>Ei</v>
      </c>
    </row>
    <row r="71" spans="2:10" x14ac:dyDescent="0.2">
      <c r="B71" s="24" t="s">
        <v>363</v>
      </c>
      <c r="C71" s="19">
        <f>Menosääntö!AF16*100</f>
        <v>-0.55425648395378913</v>
      </c>
      <c r="D71" s="73">
        <f>Menosääntö!AE16*100</f>
        <v>0.30614295419185361</v>
      </c>
      <c r="E71" s="24" t="str">
        <f>IF('Poikkeama rak.jäämästä'!R15=0,"Ei","Kyllä")</f>
        <v>Kyllä</v>
      </c>
      <c r="F71" s="19">
        <f>'Poikkeama menosäännöstä'!U11*100</f>
        <v>0.39642381813769223</v>
      </c>
      <c r="G71" s="73">
        <f>'Poikkeama menosäännöstä'!W15*100</f>
        <v>9.0280863945838619E-2</v>
      </c>
      <c r="H71" s="19">
        <f>'Poikkeama menosäännöstä'!Z15*100</f>
        <v>4.860186300819265E-2</v>
      </c>
      <c r="I71" s="19">
        <f>'Poikkeama menosäännöstä'!AB15*100</f>
        <v>-8.6397017431651499E-2</v>
      </c>
      <c r="J71" s="24" t="str">
        <f>IF('Poikkeama menosäännöstä'!AF15=1,"Kyllä","Ei")</f>
        <v>Ei</v>
      </c>
    </row>
    <row r="72" spans="2:10" x14ac:dyDescent="0.2">
      <c r="B72" s="24" t="s">
        <v>364</v>
      </c>
      <c r="C72" s="19">
        <f>Menosääntö!AF17*100</f>
        <v>-0.55425648395378913</v>
      </c>
      <c r="D72" s="73">
        <f>Menosääntö!AE17*100</f>
        <v>0.30614295419185361</v>
      </c>
      <c r="E72" s="24" t="str">
        <f>IF('Poikkeama rak.jäämästä'!R16=0,"Ei","Kyllä")</f>
        <v>Kyllä</v>
      </c>
      <c r="F72" s="19">
        <f>'Poikkeama menosäännöstä'!U12*100</f>
        <v>1.189365848955859</v>
      </c>
      <c r="G72" s="73">
        <f>'Poikkeama menosäännöstä'!W16*100</f>
        <v>0.8832228947640054</v>
      </c>
      <c r="H72" s="19">
        <f>'Poikkeama menosäännöstä'!Z16*100</f>
        <v>0.47196941791825048</v>
      </c>
      <c r="I72" s="19">
        <f>'Poikkeama menosäännöstä'!AB16*100</f>
        <v>0.26028564046322156</v>
      </c>
      <c r="J72" s="24" t="str">
        <f>IF('Poikkeama menosäännöstä'!AF16=1,"Kyllä","Ei")</f>
        <v>Kyllä</v>
      </c>
    </row>
    <row r="77" spans="2:10" ht="22.5" x14ac:dyDescent="0.3">
      <c r="B77" s="308" t="s">
        <v>403</v>
      </c>
      <c r="C77" s="308"/>
      <c r="D77" s="308"/>
      <c r="E77" s="308"/>
    </row>
    <row r="78" spans="2:10" ht="28.5" x14ac:dyDescent="0.2">
      <c r="B78" s="244" t="s">
        <v>377</v>
      </c>
      <c r="C78" s="245" t="s">
        <v>93</v>
      </c>
      <c r="D78" s="245" t="s">
        <v>359</v>
      </c>
      <c r="E78" s="245" t="s">
        <v>378</v>
      </c>
    </row>
    <row r="79" spans="2:10" ht="28.5" x14ac:dyDescent="0.2">
      <c r="B79" s="249">
        <v>2013</v>
      </c>
      <c r="C79" s="248" t="str">
        <f>IF('Kokonaisvaltainen arvio'!F5=1,"Sääntöä noudatettu",IF('Kokonaisvaltainen arvio'!F5=0,"Poikeama","Merkittävä poikkeama"))</f>
        <v>Sääntöä noudatettu</v>
      </c>
      <c r="D79" s="248" t="str">
        <f>IF('Kokonaisvaltainen arvio'!J5=1,"Sääntöä noudatettu",IF('Kokonaisvaltainen arvio'!J5=0,"Poikeama","Merkittävä poikkeama"))</f>
        <v>Sääntöä noudatettu</v>
      </c>
      <c r="E79" s="248" t="str">
        <f>IF('Kokonaisvaltainen arvio'!L5=1,"Sopimusta noudatettu",IF('Kokonaisvaltainen arvio'!L5=0,"Noudattaminen osittaista","Merkittävä poikkeama"))</f>
        <v>Sopimusta noudatettu</v>
      </c>
    </row>
    <row r="80" spans="2:10" ht="28.5" x14ac:dyDescent="0.2">
      <c r="B80" s="249">
        <v>2014</v>
      </c>
      <c r="C80" s="248" t="str">
        <f>IF('Kokonaisvaltainen arvio'!F6=1,"Sääntöä noudatettu",IF('Kokonaisvaltainen arvio'!F6=0,"Poikeama","Merkittävä poikkeama"))</f>
        <v>Poikeama</v>
      </c>
      <c r="D80" s="248" t="str">
        <f>IF('Kokonaisvaltainen arvio'!J6=1,"Sääntöä noudatettu",IF('Kokonaisvaltainen arvio'!J6=0,"Poikeama","Merkittävä poikkeama"))</f>
        <v>Sääntöä noudatettu</v>
      </c>
      <c r="E80" s="248" t="str">
        <f>IF('Kokonaisvaltainen arvio'!L6=1,"Sopimusta noudatettu",IF('Kokonaisvaltainen arvio'!L6=0,"Noudattaminen osittaista","Merkittävä poikkeama"))</f>
        <v>Noudattaminen osittaista</v>
      </c>
    </row>
    <row r="81" spans="2:6" ht="28.5" x14ac:dyDescent="0.2">
      <c r="B81" s="249">
        <v>2015</v>
      </c>
      <c r="C81" s="248" t="str">
        <f>IF('Kokonaisvaltainen arvio'!F7=1,"Sääntöä noudatettu",IF('Kokonaisvaltainen arvio'!F7=0,"Poikeama","Merkittävä poikkeama"))</f>
        <v>Sääntöä noudatettu</v>
      </c>
      <c r="D81" s="248" t="str">
        <f>IF('Kokonaisvaltainen arvio'!J7=1,"Sääntöä noudatettu",IF('Kokonaisvaltainen arvio'!J7=0,"Poikeama","Merkittävä poikkeama"))</f>
        <v>Sääntöä noudatettu</v>
      </c>
      <c r="E81" s="248" t="str">
        <f>IF('Kokonaisvaltainen arvio'!L7=1,"Sopimusta noudatettu",IF('Kokonaisvaltainen arvio'!L7=0,"Noudattaminen osittaista","Merkittävä poikkeama"))</f>
        <v>Sopimusta noudatettu</v>
      </c>
    </row>
    <row r="82" spans="2:6" ht="28.5" x14ac:dyDescent="0.2">
      <c r="B82" s="249">
        <v>2016</v>
      </c>
      <c r="C82" s="248" t="str">
        <f>IF('Kokonaisvaltainen arvio'!F8=1,"Sääntöä noudatettu",IF('Kokonaisvaltainen arvio'!F8=0,"Poikeama","Merkittävä poikkeama"))</f>
        <v>Sääntöä noudatettu</v>
      </c>
      <c r="D82" s="248" t="str">
        <f>IF('Kokonaisvaltainen arvio'!J8=1,"Sääntöä noudatettu",IF('Kokonaisvaltainen arvio'!J8=0,"Poikeama","Merkittävä poikkeama"))</f>
        <v>Sääntöä noudatettu</v>
      </c>
      <c r="E82" s="248" t="str">
        <f>IF('Kokonaisvaltainen arvio'!L8=1,"Sopimusta noudatettu",IF('Kokonaisvaltainen arvio'!L8=0,"Noudattaminen osittaista","Merkittävä poikkeama"))</f>
        <v>Sopimusta noudatettu</v>
      </c>
    </row>
    <row r="83" spans="2:6" ht="28.5" x14ac:dyDescent="0.2">
      <c r="B83" s="249">
        <v>2017</v>
      </c>
      <c r="C83" s="248" t="str">
        <f>IF('Kokonaisvaltainen arvio'!F9=1,"Sääntöä noudatettu",IF('Kokonaisvaltainen arvio'!F9=0,"Poikeama","Merkittävä poikkeama"))</f>
        <v>Sääntöä noudatettu</v>
      </c>
      <c r="D83" s="248" t="str">
        <f>IF('Kokonaisvaltainen arvio'!J9=1,"Sääntöä noudatettu",IF('Kokonaisvaltainen arvio'!J9=0,"Poikeama","Merkittävä poikkeama"))</f>
        <v>Poikeama</v>
      </c>
      <c r="E83" s="248" t="str">
        <f>IF('Kokonaisvaltainen arvio'!L9=1,"Sopimusta noudatettu",IF('Kokonaisvaltainen arvio'!L9=0,"Noudattaminen osittaista","Merkittävä poikkeama"))</f>
        <v>Sopimusta noudatettu</v>
      </c>
    </row>
    <row r="84" spans="2:6" ht="28.5" x14ac:dyDescent="0.2">
      <c r="B84" s="249">
        <v>2018</v>
      </c>
      <c r="C84" s="248" t="str">
        <f>IF('Kokonaisvaltainen arvio'!F10=1,"Sääntöä noudatettu",IF('Kokonaisvaltainen arvio'!F10=0,"Poikeama","Merkittävä poikkeama"))</f>
        <v>Sääntöä noudatettu</v>
      </c>
      <c r="D84" s="248" t="str">
        <f>IF('Kokonaisvaltainen arvio'!J10=1,"Sääntöä noudatettu",IF('Kokonaisvaltainen arvio'!J10=0,"Poikeama","Merkittävä poikkeama"))</f>
        <v>Merkittävä poikkeama</v>
      </c>
      <c r="E84" s="248" t="str">
        <f>IF('Kokonaisvaltainen arvio'!L10=1,"Sopimusta noudatettu",IF('Kokonaisvaltainen arvio'!L10=0,"Noudattaminen osittaista","Merkittävä poikkeama"))</f>
        <v>Sopimusta noudatettu</v>
      </c>
    </row>
    <row r="87" spans="2:6" ht="22.5" x14ac:dyDescent="0.3">
      <c r="B87" s="308" t="s">
        <v>404</v>
      </c>
      <c r="C87" s="308"/>
      <c r="D87" s="308"/>
      <c r="E87" s="308"/>
      <c r="F87" s="308"/>
    </row>
    <row r="89" spans="2:6" ht="45" x14ac:dyDescent="0.2">
      <c r="B89" s="230"/>
      <c r="C89" s="286"/>
      <c r="D89" s="286" t="s">
        <v>386</v>
      </c>
      <c r="E89" s="286"/>
      <c r="F89" s="286" t="s">
        <v>387</v>
      </c>
    </row>
    <row r="90" spans="2:6" x14ac:dyDescent="0.2">
      <c r="B90" s="230"/>
      <c r="C90" s="286"/>
      <c r="D90" s="230"/>
      <c r="E90" s="230"/>
      <c r="F90" s="229"/>
    </row>
    <row r="91" spans="2:6" x14ac:dyDescent="0.2">
      <c r="B91" s="243">
        <v>2011</v>
      </c>
      <c r="C91" s="311" t="s">
        <v>59</v>
      </c>
      <c r="D91" s="231">
        <f>'EDP-alijäämä'!E56*100</f>
        <v>-0.7184334</v>
      </c>
      <c r="E91" s="312" t="s">
        <v>58</v>
      </c>
      <c r="F91" s="231">
        <f>'EDP-alijäämä'!B56*100</f>
        <v>-0.7184334</v>
      </c>
    </row>
    <row r="92" spans="2:6" x14ac:dyDescent="0.2">
      <c r="B92" s="243">
        <v>2012</v>
      </c>
      <c r="C92" s="311"/>
      <c r="D92" s="231">
        <f>'EDP-alijäämä'!E57*100</f>
        <v>-1.8258383</v>
      </c>
      <c r="E92" s="312"/>
      <c r="F92" s="231">
        <f>'EDP-alijäämä'!B57*100</f>
        <v>-1.8258383</v>
      </c>
    </row>
    <row r="93" spans="2:6" x14ac:dyDescent="0.2">
      <c r="B93" s="243">
        <v>2013</v>
      </c>
      <c r="C93" s="311"/>
      <c r="D93" s="231">
        <f>'EDP-alijäämä'!E58*100</f>
        <v>-2.1122501201904402</v>
      </c>
      <c r="E93" s="312"/>
      <c r="F93" s="231">
        <f>'EDP-alijäämä'!B58*100</f>
        <v>-2.1122501201904438</v>
      </c>
    </row>
    <row r="94" spans="2:6" x14ac:dyDescent="0.2">
      <c r="B94" s="243">
        <v>2014</v>
      </c>
      <c r="C94" s="311"/>
      <c r="D94" s="231">
        <f>'EDP-alijäämä'!E59*100</f>
        <v>-2.1484436126918931</v>
      </c>
      <c r="E94" s="312"/>
      <c r="F94" s="231">
        <f>'EDP-alijäämä'!B59*100</f>
        <v>-2.2158196201904437</v>
      </c>
    </row>
    <row r="95" spans="2:6" x14ac:dyDescent="0.2">
      <c r="B95" s="243">
        <v>2015</v>
      </c>
      <c r="C95" s="311"/>
      <c r="D95" s="231">
        <f>'EDP-alijäämä'!E60*100</f>
        <v>-1.1839263979895391</v>
      </c>
      <c r="E95" s="312"/>
      <c r="F95" s="287"/>
    </row>
    <row r="96" spans="2:6" x14ac:dyDescent="0.2">
      <c r="B96" s="243">
        <v>2016</v>
      </c>
      <c r="C96" s="311"/>
      <c r="D96" s="231">
        <f>'EDP-alijäämä'!E61*100</f>
        <v>-0.6344343824520059</v>
      </c>
      <c r="E96" s="312"/>
      <c r="F96" s="287"/>
    </row>
    <row r="97" spans="2:9" x14ac:dyDescent="0.2">
      <c r="B97" s="243">
        <v>2017</v>
      </c>
      <c r="C97" s="311"/>
      <c r="D97" s="231">
        <f>'EDP-alijäämä'!E62*100</f>
        <v>-0.10500833901683675</v>
      </c>
      <c r="E97" s="312"/>
      <c r="F97" s="287"/>
    </row>
    <row r="98" spans="2:9" x14ac:dyDescent="0.2">
      <c r="B98" s="243">
        <v>2018</v>
      </c>
      <c r="C98" s="311"/>
      <c r="D98" s="231">
        <f>'EDP-alijäämä'!E63*100</f>
        <v>0.1892966836114886</v>
      </c>
      <c r="E98" s="312"/>
      <c r="F98" s="287"/>
    </row>
    <row r="99" spans="2:9" s="140" customFormat="1" x14ac:dyDescent="0.2">
      <c r="B99" s="243"/>
      <c r="C99" s="231"/>
      <c r="D99" s="231"/>
      <c r="E99" s="287"/>
      <c r="F99" s="287"/>
    </row>
    <row r="100" spans="2:9" s="140" customFormat="1" x14ac:dyDescent="0.2">
      <c r="B100" s="243"/>
      <c r="C100" s="231"/>
      <c r="D100" s="231"/>
      <c r="E100" s="287"/>
      <c r="F100" s="287"/>
    </row>
    <row r="102" spans="2:9" ht="22.5" x14ac:dyDescent="0.3">
      <c r="B102" s="308" t="s">
        <v>411</v>
      </c>
      <c r="C102" s="308"/>
      <c r="D102" s="308"/>
      <c r="E102" s="308"/>
      <c r="F102" s="308"/>
      <c r="G102" s="308"/>
      <c r="H102" s="308"/>
      <c r="I102" s="308"/>
    </row>
    <row r="104" spans="2:9" ht="56.25" x14ac:dyDescent="0.2">
      <c r="B104" s="230"/>
      <c r="C104" s="286" t="s">
        <v>388</v>
      </c>
      <c r="D104" s="286" t="s">
        <v>389</v>
      </c>
      <c r="E104" s="286" t="s">
        <v>390</v>
      </c>
      <c r="F104" s="286" t="s">
        <v>391</v>
      </c>
      <c r="G104" s="286" t="s">
        <v>392</v>
      </c>
      <c r="H104" s="286" t="s">
        <v>393</v>
      </c>
      <c r="I104" s="261" t="s">
        <v>394</v>
      </c>
    </row>
    <row r="105" spans="2:9" x14ac:dyDescent="0.2">
      <c r="B105" s="230"/>
      <c r="C105" s="286"/>
      <c r="D105" s="230"/>
      <c r="E105" s="230"/>
      <c r="F105" s="229"/>
      <c r="G105" s="230"/>
      <c r="H105" s="230"/>
      <c r="I105" s="31"/>
    </row>
    <row r="106" spans="2:9" x14ac:dyDescent="0.2">
      <c r="B106" s="243">
        <v>2012</v>
      </c>
      <c r="C106" s="231">
        <f>'EDP-velka'!V43</f>
        <v>53.623600000000003</v>
      </c>
      <c r="D106" s="287" t="str">
        <f>IF('EDP-velka'!W43=0,"Kyllä","Ei")</f>
        <v>Ei</v>
      </c>
      <c r="E106" s="231">
        <f>'EDP-velka'!X43</f>
        <v>48.458377483333336</v>
      </c>
      <c r="F106" s="287" t="str">
        <f>IF('EDP-velka'!Y43=0,"Ei","Kyllä")</f>
        <v>Ei</v>
      </c>
      <c r="G106" s="231">
        <f>'EDP-velka'!AL43</f>
        <v>53.648247420173355</v>
      </c>
      <c r="H106" s="231" t="str">
        <f>IF('EDP-velka'!AM43=0,"Ei","Kyllä")</f>
        <v>Ei</v>
      </c>
      <c r="I106" s="243" t="str">
        <f>IF('EDP-velka'!AN43=1,"Kyllä","Ei")</f>
        <v>Kyllä</v>
      </c>
    </row>
    <row r="107" spans="2:9" x14ac:dyDescent="0.2">
      <c r="B107" s="243">
        <v>2013</v>
      </c>
      <c r="C107" s="231">
        <f>'EDP-velka'!V44</f>
        <v>56.9</v>
      </c>
      <c r="D107" s="287" t="str">
        <f>IF('EDP-velka'!W44=0,"Kyllä","Ei")</f>
        <v>Ei</v>
      </c>
      <c r="E107" s="231">
        <f>'EDP-velka'!X44</f>
        <v>51.48996800416667</v>
      </c>
      <c r="F107" s="287" t="str">
        <f>IF('EDP-velka'!Y44=0,"Ei","Kyllä")</f>
        <v>Ei</v>
      </c>
      <c r="G107" s="231">
        <f>'EDP-velka'!AL44</f>
        <v>54.203293707810133</v>
      </c>
      <c r="H107" s="231" t="str">
        <f>IF('EDP-velka'!AM44=0,"Ei","Kyllä")</f>
        <v>Ei</v>
      </c>
      <c r="I107" s="243" t="str">
        <f>IF('EDP-velka'!AN44=1,"Kyllä","Ei")</f>
        <v>Kyllä</v>
      </c>
    </row>
    <row r="108" spans="2:9" x14ac:dyDescent="0.2">
      <c r="B108" s="243">
        <v>2014</v>
      </c>
      <c r="C108" s="231">
        <f>'EDP-velka'!V45</f>
        <v>59.8</v>
      </c>
      <c r="D108" s="287" t="str">
        <f>IF('EDP-velka'!W45=0,"Kyllä","Ei")</f>
        <v>Ei</v>
      </c>
      <c r="E108" s="231">
        <f>'EDP-velka'!X45</f>
        <v>54.011577704166669</v>
      </c>
      <c r="F108" s="287" t="str">
        <f>IF('EDP-velka'!Y45=0,"Ei","Kyllä")</f>
        <v>Ei</v>
      </c>
      <c r="G108" s="231">
        <f>'EDP-velka'!AL45</f>
        <v>54.578603282248196</v>
      </c>
      <c r="H108" s="231" t="str">
        <f>IF('EDP-velka'!AM45=0,"Ei","Kyllä")</f>
        <v>Ei</v>
      </c>
      <c r="I108" s="243" t="str">
        <f>IF('EDP-velka'!AN45=1,"Kyllä","Ei")</f>
        <v>Kyllä</v>
      </c>
    </row>
    <row r="109" spans="2:9" x14ac:dyDescent="0.2">
      <c r="B109" s="243">
        <v>2015</v>
      </c>
      <c r="C109" s="231">
        <f>'EDP-velka'!V46</f>
        <v>61</v>
      </c>
      <c r="D109" s="287" t="str">
        <f>IF('EDP-velka'!W46=0,"Kyllä","Ei")</f>
        <v>Kyllä</v>
      </c>
      <c r="E109" s="231">
        <f>'EDP-velka'!X46</f>
        <v>57.181761350000002</v>
      </c>
      <c r="F109" s="287" t="str">
        <f>IF('EDP-velka'!Y46=0,"Ei","Kyllä")</f>
        <v>Ei</v>
      </c>
      <c r="G109" s="231">
        <f>'EDP-velka'!AL46</f>
        <v>56.677701237209909</v>
      </c>
      <c r="H109" s="231" t="str">
        <f>IF('EDP-velka'!AM46=0,"Ei","Kyllä")</f>
        <v>Kyllä</v>
      </c>
      <c r="I109" s="243" t="str">
        <f>IF('EDP-velka'!AN46=1,"Kyllä","Ei")</f>
        <v>Kyllä</v>
      </c>
    </row>
    <row r="110" spans="2:9" x14ac:dyDescent="0.2">
      <c r="B110" s="243">
        <v>2016</v>
      </c>
      <c r="C110" s="231">
        <f>'EDP-velka'!V47</f>
        <v>61.4</v>
      </c>
      <c r="D110" s="287" t="str">
        <f>IF('EDP-velka'!W47=0,"Kyllä","Ei")</f>
        <v>Kyllä</v>
      </c>
      <c r="E110" s="231">
        <f>'EDP-velka'!X47</f>
        <v>59.370545833333338</v>
      </c>
      <c r="F110" s="287" t="str">
        <f>IF('EDP-velka'!Y47=0,"Ei","Kyllä")</f>
        <v>Ei</v>
      </c>
      <c r="G110" s="231">
        <f>'EDP-velka'!AL47</f>
        <v>59.852502524227368</v>
      </c>
      <c r="H110" s="231" t="str">
        <f>IF('EDP-velka'!AM47=0,"Ei","Kyllä")</f>
        <v>Ei</v>
      </c>
      <c r="I110" s="243" t="str">
        <f>IF('EDP-velka'!AN47=1,"Kyllä","Ei")</f>
        <v>Ei</v>
      </c>
    </row>
    <row r="111" spans="2:9" x14ac:dyDescent="0.2">
      <c r="B111" s="243">
        <v>2017</v>
      </c>
      <c r="C111" s="231">
        <f>'EDP-velka'!V48</f>
        <v>61.3</v>
      </c>
      <c r="D111" s="287" t="str">
        <f>IF('EDP-velka'!W48=0,"Kyllä","Ei")</f>
        <v>Kyllä</v>
      </c>
      <c r="E111" s="231">
        <f>'EDP-velka'!X48</f>
        <v>60.687008333333338</v>
      </c>
      <c r="F111" s="287" t="str">
        <f>IF('EDP-velka'!Y48=0,"Ei","Kyllä")</f>
        <v>Ei</v>
      </c>
      <c r="G111" s="231">
        <f>'EDP-velka'!AL48</f>
        <v>61.27395901481264</v>
      </c>
      <c r="H111" s="231" t="str">
        <f>IF('EDP-velka'!AM48=0,"Ei","Kyllä")</f>
        <v>Ei</v>
      </c>
      <c r="I111" s="243" t="s">
        <v>246</v>
      </c>
    </row>
    <row r="112" spans="2:9" x14ac:dyDescent="0.2">
      <c r="B112" s="243">
        <v>2018</v>
      </c>
      <c r="C112" s="231">
        <f>'EDP-velka'!V49</f>
        <v>61.2</v>
      </c>
      <c r="D112" s="287" t="str">
        <f>IF('EDP-velka'!W49=0,"Kyllä","Ei")</f>
        <v>Kyllä</v>
      </c>
      <c r="E112" s="231">
        <f>'EDP-velka'!X49</f>
        <v>61.118625000000002</v>
      </c>
      <c r="F112" s="287" t="str">
        <f>IF('EDP-velka'!Y49=0,"Ei","Kyllä")</f>
        <v>Ei</v>
      </c>
      <c r="G112" s="231">
        <f>'EDP-velka'!AL49</f>
        <v>61.864108029824258</v>
      </c>
      <c r="H112" s="231" t="str">
        <f>IF('EDP-velka'!AM49=0,"Ei","Kyllä")</f>
        <v>Ei</v>
      </c>
      <c r="I112" s="243" t="s">
        <v>246</v>
      </c>
    </row>
  </sheetData>
  <mergeCells count="11">
    <mergeCell ref="B102:I102"/>
    <mergeCell ref="B77:E77"/>
    <mergeCell ref="B3:N3"/>
    <mergeCell ref="B16:N16"/>
    <mergeCell ref="C91:C98"/>
    <mergeCell ref="E91:E98"/>
    <mergeCell ref="B87:F87"/>
    <mergeCell ref="C28:N28"/>
    <mergeCell ref="C42:N42"/>
    <mergeCell ref="C55:L55"/>
    <mergeCell ref="B64:J64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C1:F11"/>
  <sheetViews>
    <sheetView workbookViewId="0"/>
  </sheetViews>
  <sheetFormatPr defaultRowHeight="14.25" x14ac:dyDescent="0.2"/>
  <cols>
    <col min="4" max="6" width="14.875" customWidth="1"/>
  </cols>
  <sheetData>
    <row r="1" spans="3:6" s="140" customFormat="1" x14ac:dyDescent="0.2"/>
    <row r="2" spans="3:6" ht="15" x14ac:dyDescent="0.25">
      <c r="C2" s="219" t="s">
        <v>375</v>
      </c>
    </row>
    <row r="4" spans="3:6" x14ac:dyDescent="0.2">
      <c r="C4" t="s">
        <v>306</v>
      </c>
      <c r="D4" t="s">
        <v>376</v>
      </c>
      <c r="E4" t="s">
        <v>370</v>
      </c>
      <c r="F4" t="s">
        <v>371</v>
      </c>
    </row>
    <row r="5" spans="3:6" x14ac:dyDescent="0.2">
      <c r="C5" s="92">
        <v>2012</v>
      </c>
      <c r="D5" s="15">
        <f>'Taulukkojen luonti'!F66</f>
        <v>1.5006271175367569</v>
      </c>
      <c r="E5" s="15">
        <f>'Taulukkojen luonti'!C66</f>
        <v>0.49999999999999978</v>
      </c>
      <c r="F5" s="15">
        <f>'Taulukkojen luonti'!D66</f>
        <v>1.4</v>
      </c>
    </row>
    <row r="6" spans="3:6" x14ac:dyDescent="0.2">
      <c r="C6" s="92">
        <v>2013</v>
      </c>
      <c r="D6" s="15">
        <f>'Taulukkojen luonti'!F67</f>
        <v>-0.40870423833037073</v>
      </c>
      <c r="E6" s="15">
        <f>'Taulukkojen luonti'!C67</f>
        <v>0.50005564663100199</v>
      </c>
      <c r="F6" s="15">
        <f>'Taulukkojen luonti'!D67</f>
        <v>1.4</v>
      </c>
    </row>
    <row r="7" spans="3:6" x14ac:dyDescent="0.2">
      <c r="C7" s="92" t="s">
        <v>348</v>
      </c>
      <c r="D7" s="15">
        <f>'Taulukkojen luonti'!F68</f>
        <v>0.37696014030192959</v>
      </c>
      <c r="E7" s="15">
        <f>'Taulukkojen luonti'!C68</f>
        <v>-9.9944353368997846E-2</v>
      </c>
      <c r="F7" s="15">
        <f>'Taulukkojen luonti'!D68</f>
        <v>0.8</v>
      </c>
    </row>
    <row r="8" spans="3:6" x14ac:dyDescent="0.2">
      <c r="C8" s="92" t="s">
        <v>349</v>
      </c>
      <c r="D8" s="15">
        <f>'Taulukkojen luonti'!F69</f>
        <v>-1.2110877792461006</v>
      </c>
      <c r="E8" s="15">
        <f>'Taulukkojen luonti'!C69</f>
        <v>-9.9944353368997846E-2</v>
      </c>
      <c r="F8" s="15">
        <f>'Taulukkojen luonti'!D69</f>
        <v>0.8</v>
      </c>
    </row>
    <row r="9" spans="3:6" x14ac:dyDescent="0.2">
      <c r="C9" s="92" t="s">
        <v>362</v>
      </c>
      <c r="D9" s="15">
        <f>'Taulukkojen luonti'!F70</f>
        <v>0.39088452507745064</v>
      </c>
      <c r="E9" s="15">
        <f>'Taulukkojen luonti'!C70</f>
        <v>-9.9944353368997846E-2</v>
      </c>
      <c r="F9" s="15">
        <f>'Taulukkojen luonti'!D70</f>
        <v>0.8</v>
      </c>
    </row>
    <row r="10" spans="3:6" x14ac:dyDescent="0.2">
      <c r="C10" s="92" t="s">
        <v>363</v>
      </c>
      <c r="D10" s="15">
        <f>'Taulukkojen luonti'!F71</f>
        <v>0.39642381813769223</v>
      </c>
      <c r="E10" s="15">
        <f>'Taulukkojen luonti'!C71</f>
        <v>-0.55425648395378913</v>
      </c>
      <c r="F10" s="15">
        <f>'Taulukkojen luonti'!D71</f>
        <v>0.30614295419185361</v>
      </c>
    </row>
    <row r="11" spans="3:6" x14ac:dyDescent="0.2">
      <c r="C11" s="92" t="s">
        <v>364</v>
      </c>
      <c r="D11" s="15">
        <f>'Taulukkojen luonti'!F72</f>
        <v>1.189365848955859</v>
      </c>
      <c r="E11" s="15">
        <f>'Taulukkojen luonti'!C72</f>
        <v>-0.55425648395378913</v>
      </c>
      <c r="F11" s="15">
        <f>'Taulukkojen luonti'!D72</f>
        <v>0.30614295419185361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J64"/>
  <sheetViews>
    <sheetView workbookViewId="0">
      <pane xSplit="1" topLeftCell="B1" activePane="topRight" state="frozen"/>
      <selection pane="topRight"/>
    </sheetView>
  </sheetViews>
  <sheetFormatPr defaultRowHeight="14.25" x14ac:dyDescent="0.2"/>
  <cols>
    <col min="2" max="2" width="18.375" customWidth="1"/>
    <col min="3" max="3" width="10.25" customWidth="1"/>
    <col min="5" max="5" width="18.375" customWidth="1"/>
    <col min="6" max="6" width="10" customWidth="1"/>
    <col min="8" max="8" width="18.375" customWidth="1"/>
  </cols>
  <sheetData>
    <row r="1" spans="1:10" ht="22.5" x14ac:dyDescent="0.3">
      <c r="A1" s="140"/>
      <c r="B1" s="308" t="s">
        <v>58</v>
      </c>
      <c r="C1" s="308"/>
      <c r="D1" s="140"/>
      <c r="E1" s="308" t="s">
        <v>59</v>
      </c>
      <c r="F1" s="308"/>
      <c r="G1" s="140"/>
      <c r="H1" s="308" t="s">
        <v>164</v>
      </c>
      <c r="I1" s="308"/>
    </row>
    <row r="2" spans="1:10" ht="42.75" x14ac:dyDescent="0.2">
      <c r="A2" s="140" t="s">
        <v>1</v>
      </c>
      <c r="B2" s="96" t="s">
        <v>168</v>
      </c>
      <c r="C2" s="96" t="s">
        <v>169</v>
      </c>
      <c r="D2" s="144"/>
      <c r="E2" s="96" t="s">
        <v>168</v>
      </c>
      <c r="F2" s="96" t="s">
        <v>169</v>
      </c>
      <c r="G2" s="145"/>
      <c r="H2" s="96" t="s">
        <v>168</v>
      </c>
      <c r="I2" s="96" t="s">
        <v>169</v>
      </c>
      <c r="J2" s="4"/>
    </row>
    <row r="3" spans="1:10" x14ac:dyDescent="0.2">
      <c r="A3" s="140" t="s">
        <v>2</v>
      </c>
      <c r="B3" s="148" t="s">
        <v>438</v>
      </c>
      <c r="C3" s="38"/>
      <c r="D3" s="145"/>
      <c r="E3" s="94" t="s">
        <v>439</v>
      </c>
      <c r="F3" s="38"/>
      <c r="G3" s="145"/>
      <c r="H3" s="94" t="s">
        <v>439</v>
      </c>
      <c r="I3" s="38"/>
      <c r="J3" s="4"/>
    </row>
    <row r="4" spans="1:10" ht="15" thickBot="1" x14ac:dyDescent="0.25">
      <c r="A4" s="103" t="s">
        <v>0</v>
      </c>
      <c r="B4" s="101"/>
      <c r="C4" s="103"/>
      <c r="D4" s="146"/>
      <c r="E4" s="101"/>
      <c r="F4" s="101"/>
      <c r="G4" s="149"/>
      <c r="H4" s="103"/>
      <c r="I4" s="103"/>
      <c r="J4" s="28"/>
    </row>
    <row r="5" spans="1:10" ht="15" thickTop="1" x14ac:dyDescent="0.2">
      <c r="A5" s="92">
        <v>1960</v>
      </c>
      <c r="C5" s="94"/>
      <c r="D5" s="145"/>
      <c r="E5" s="15"/>
      <c r="F5" s="94"/>
      <c r="G5" s="145"/>
      <c r="J5" s="4"/>
    </row>
    <row r="6" spans="1:10" x14ac:dyDescent="0.2">
      <c r="A6" s="92">
        <v>1961</v>
      </c>
      <c r="B6" s="15"/>
      <c r="C6" s="94"/>
      <c r="D6" s="145"/>
      <c r="E6" s="15"/>
      <c r="F6" s="94"/>
      <c r="G6" s="145"/>
      <c r="J6" s="4"/>
    </row>
    <row r="7" spans="1:10" x14ac:dyDescent="0.2">
      <c r="A7" s="92">
        <v>1962</v>
      </c>
      <c r="B7" s="15"/>
      <c r="C7" s="94"/>
      <c r="D7" s="145"/>
      <c r="E7" s="15"/>
      <c r="F7" s="94"/>
      <c r="G7" s="145"/>
      <c r="J7" s="4"/>
    </row>
    <row r="8" spans="1:10" x14ac:dyDescent="0.2">
      <c r="A8" s="92">
        <v>1963</v>
      </c>
      <c r="B8" s="15"/>
      <c r="C8" s="94"/>
      <c r="D8" s="145"/>
      <c r="E8" s="15"/>
      <c r="F8" s="94"/>
      <c r="G8" s="145"/>
      <c r="J8" s="4"/>
    </row>
    <row r="9" spans="1:10" x14ac:dyDescent="0.2">
      <c r="A9" s="92">
        <v>1964</v>
      </c>
      <c r="B9" s="15"/>
      <c r="C9" s="94"/>
      <c r="D9" s="145"/>
      <c r="E9" s="15"/>
      <c r="F9" s="94"/>
      <c r="G9" s="145"/>
      <c r="J9" s="4"/>
    </row>
    <row r="10" spans="1:10" x14ac:dyDescent="0.2">
      <c r="A10" s="92">
        <v>1965</v>
      </c>
      <c r="B10" s="15"/>
      <c r="C10" s="94"/>
      <c r="D10" s="145"/>
      <c r="E10" s="15"/>
      <c r="F10" s="94"/>
      <c r="G10" s="145"/>
      <c r="J10" s="4"/>
    </row>
    <row r="11" spans="1:10" x14ac:dyDescent="0.2">
      <c r="A11" s="92">
        <v>1966</v>
      </c>
      <c r="B11" s="15"/>
      <c r="C11" s="94"/>
      <c r="D11" s="145"/>
      <c r="E11" s="15"/>
      <c r="F11" s="94"/>
      <c r="G11" s="145"/>
      <c r="J11" s="4"/>
    </row>
    <row r="12" spans="1:10" x14ac:dyDescent="0.2">
      <c r="A12" s="92">
        <v>1967</v>
      </c>
      <c r="B12" s="15"/>
      <c r="C12" s="94"/>
      <c r="D12" s="145"/>
      <c r="E12" s="15"/>
      <c r="F12" s="94"/>
      <c r="G12" s="145"/>
      <c r="J12" s="4"/>
    </row>
    <row r="13" spans="1:10" x14ac:dyDescent="0.2">
      <c r="A13" s="92">
        <v>1968</v>
      </c>
      <c r="B13" s="15"/>
      <c r="C13" s="94"/>
      <c r="D13" s="145"/>
      <c r="E13" s="15"/>
      <c r="F13" s="94"/>
      <c r="G13" s="145"/>
      <c r="J13" s="4"/>
    </row>
    <row r="14" spans="1:10" x14ac:dyDescent="0.2">
      <c r="A14" s="92">
        <v>1969</v>
      </c>
      <c r="B14" s="15"/>
      <c r="C14" s="94"/>
      <c r="D14" s="145"/>
      <c r="E14" s="15"/>
      <c r="F14" s="94"/>
      <c r="G14" s="145"/>
      <c r="J14" s="4"/>
    </row>
    <row r="15" spans="1:10" x14ac:dyDescent="0.2">
      <c r="A15" s="92">
        <v>1970</v>
      </c>
      <c r="B15" s="15"/>
      <c r="C15" s="94"/>
      <c r="D15" s="145"/>
      <c r="E15" s="15"/>
      <c r="F15" s="94"/>
      <c r="G15" s="145"/>
      <c r="J15" s="4"/>
    </row>
    <row r="16" spans="1:10" x14ac:dyDescent="0.2">
      <c r="A16" s="92">
        <v>1971</v>
      </c>
      <c r="B16" s="15"/>
      <c r="C16" s="94"/>
      <c r="D16" s="145"/>
      <c r="E16" s="15"/>
      <c r="F16" s="94"/>
      <c r="G16" s="145"/>
      <c r="J16" s="4"/>
    </row>
    <row r="17" spans="1:10" x14ac:dyDescent="0.2">
      <c r="A17" s="92">
        <v>1972</v>
      </c>
      <c r="B17" s="15"/>
      <c r="C17" s="94"/>
      <c r="D17" s="145"/>
      <c r="E17" s="15"/>
      <c r="F17" s="94"/>
      <c r="G17" s="145"/>
      <c r="J17" s="4"/>
    </row>
    <row r="18" spans="1:10" x14ac:dyDescent="0.2">
      <c r="A18" s="92">
        <v>1973</v>
      </c>
      <c r="B18" s="15"/>
      <c r="C18" s="94"/>
      <c r="D18" s="145"/>
      <c r="E18" s="15"/>
      <c r="F18" s="94"/>
      <c r="G18" s="145"/>
      <c r="J18" s="4"/>
    </row>
    <row r="19" spans="1:10" x14ac:dyDescent="0.2">
      <c r="A19" s="92">
        <v>1974</v>
      </c>
      <c r="B19" s="15"/>
      <c r="C19" s="94"/>
      <c r="D19" s="145"/>
      <c r="E19" s="15"/>
      <c r="F19" s="94"/>
      <c r="G19" s="145"/>
      <c r="J19" s="4"/>
    </row>
    <row r="20" spans="1:10" x14ac:dyDescent="0.2">
      <c r="A20" s="92">
        <v>1975</v>
      </c>
      <c r="B20" s="95">
        <f>'Rakenteellinen jäämä'!B21</f>
        <v>5.0172049999999996E-2</v>
      </c>
      <c r="C20" s="94" t="str">
        <f>IF(B20&lt;-0.03,"Kyllä","Ei")</f>
        <v>Ei</v>
      </c>
      <c r="D20" s="145"/>
      <c r="E20" s="95">
        <f>'Rakenteellinen jäämä'!K21</f>
        <v>5.0172049999999996E-2</v>
      </c>
      <c r="F20" s="94" t="str">
        <f>IF(E20&lt;-0.03,"Kyllä","Ei")</f>
        <v>Ei</v>
      </c>
      <c r="G20" s="145"/>
      <c r="J20" s="4"/>
    </row>
    <row r="21" spans="1:10" x14ac:dyDescent="0.2">
      <c r="A21" s="92">
        <v>1976</v>
      </c>
      <c r="B21" s="95">
        <f>'Rakenteellinen jäämä'!B22</f>
        <v>7.7299173999999998E-2</v>
      </c>
      <c r="C21" s="94" t="str">
        <f t="shared" ref="C21:C59" si="0">IF(B21&lt;-0.03,"Kyllä","Ei")</f>
        <v>Ei</v>
      </c>
      <c r="D21" s="145"/>
      <c r="E21" s="95">
        <f>'Rakenteellinen jäämä'!K22</f>
        <v>7.7299173999999998E-2</v>
      </c>
      <c r="F21" s="94" t="str">
        <f t="shared" ref="F21:F63" si="1">IF(E21&lt;-0.03,"Kyllä","Ei")</f>
        <v>Ei</v>
      </c>
      <c r="G21" s="145"/>
      <c r="J21" s="4"/>
    </row>
    <row r="22" spans="1:10" x14ac:dyDescent="0.2">
      <c r="A22" s="92">
        <v>1977</v>
      </c>
      <c r="B22" s="95">
        <f>'Rakenteellinen jäämä'!B23</f>
        <v>6.3477911999999997E-2</v>
      </c>
      <c r="C22" s="94" t="str">
        <f t="shared" si="0"/>
        <v>Ei</v>
      </c>
      <c r="D22" s="145"/>
      <c r="E22" s="95">
        <f>'Rakenteellinen jäämä'!K23</f>
        <v>6.3477911999999997E-2</v>
      </c>
      <c r="F22" s="94" t="str">
        <f t="shared" si="1"/>
        <v>Ei</v>
      </c>
      <c r="G22" s="145"/>
      <c r="J22" s="4"/>
    </row>
    <row r="23" spans="1:10" x14ac:dyDescent="0.2">
      <c r="A23" s="92">
        <v>1978</v>
      </c>
      <c r="B23" s="95">
        <f>'Rakenteellinen jäämä'!B24</f>
        <v>3.8937482000000002E-2</v>
      </c>
      <c r="C23" s="94" t="str">
        <f t="shared" si="0"/>
        <v>Ei</v>
      </c>
      <c r="D23" s="145"/>
      <c r="E23" s="95">
        <f>'Rakenteellinen jäämä'!K24</f>
        <v>3.8937482000000002E-2</v>
      </c>
      <c r="F23" s="94" t="str">
        <f t="shared" si="1"/>
        <v>Ei</v>
      </c>
      <c r="G23" s="145"/>
      <c r="J23" s="4"/>
    </row>
    <row r="24" spans="1:10" x14ac:dyDescent="0.2">
      <c r="A24" s="92">
        <v>1979</v>
      </c>
      <c r="B24" s="95">
        <f>'Rakenteellinen jäämä'!B25</f>
        <v>3.4707987000000003E-2</v>
      </c>
      <c r="C24" s="94" t="str">
        <f t="shared" si="0"/>
        <v>Ei</v>
      </c>
      <c r="D24" s="145"/>
      <c r="E24" s="95">
        <f>'Rakenteellinen jäämä'!K25</f>
        <v>3.4707987000000003E-2</v>
      </c>
      <c r="F24" s="94" t="str">
        <f t="shared" si="1"/>
        <v>Ei</v>
      </c>
      <c r="G24" s="145"/>
      <c r="J24" s="4"/>
    </row>
    <row r="25" spans="1:10" x14ac:dyDescent="0.2">
      <c r="A25" s="92">
        <v>1980</v>
      </c>
      <c r="B25" s="95">
        <f>'Rakenteellinen jäämä'!B26</f>
        <v>3.7856691999999997E-2</v>
      </c>
      <c r="C25" s="94" t="str">
        <f t="shared" si="0"/>
        <v>Ei</v>
      </c>
      <c r="D25" s="145"/>
      <c r="E25" s="95">
        <f>'Rakenteellinen jäämä'!K26</f>
        <v>3.7856691999999997E-2</v>
      </c>
      <c r="F25" s="94" t="str">
        <f t="shared" si="1"/>
        <v>Ei</v>
      </c>
      <c r="G25" s="145"/>
      <c r="J25" s="4"/>
    </row>
    <row r="26" spans="1:10" x14ac:dyDescent="0.2">
      <c r="A26" s="92">
        <v>1981</v>
      </c>
      <c r="B26" s="95">
        <f>'Rakenteellinen jäämä'!B27</f>
        <v>5.1902101999999999E-2</v>
      </c>
      <c r="C26" s="94" t="str">
        <f t="shared" si="0"/>
        <v>Ei</v>
      </c>
      <c r="D26" s="145"/>
      <c r="E26" s="95">
        <f>'Rakenteellinen jäämä'!K27</f>
        <v>5.1902101999999999E-2</v>
      </c>
      <c r="F26" s="94" t="str">
        <f t="shared" si="1"/>
        <v>Ei</v>
      </c>
      <c r="G26" s="145"/>
      <c r="J26" s="4"/>
    </row>
    <row r="27" spans="1:10" x14ac:dyDescent="0.2">
      <c r="A27" s="92">
        <v>1982</v>
      </c>
      <c r="B27" s="95">
        <f>'Rakenteellinen jäämä'!B28</f>
        <v>3.1016547999999998E-2</v>
      </c>
      <c r="C27" s="94" t="str">
        <f t="shared" si="0"/>
        <v>Ei</v>
      </c>
      <c r="D27" s="145"/>
      <c r="E27" s="95">
        <f>'Rakenteellinen jäämä'!K28</f>
        <v>3.1016547999999998E-2</v>
      </c>
      <c r="F27" s="94" t="str">
        <f t="shared" si="1"/>
        <v>Ei</v>
      </c>
      <c r="G27" s="145"/>
      <c r="J27" s="4"/>
    </row>
    <row r="28" spans="1:10" x14ac:dyDescent="0.2">
      <c r="A28" s="92">
        <v>1983</v>
      </c>
      <c r="B28" s="95">
        <f>'Rakenteellinen jäämä'!B29</f>
        <v>1.5369265999999999E-2</v>
      </c>
      <c r="C28" s="94" t="str">
        <f t="shared" si="0"/>
        <v>Ei</v>
      </c>
      <c r="D28" s="145"/>
      <c r="E28" s="95">
        <f>'Rakenteellinen jäämä'!K29</f>
        <v>1.5369265999999999E-2</v>
      </c>
      <c r="F28" s="94" t="str">
        <f t="shared" si="1"/>
        <v>Ei</v>
      </c>
      <c r="G28" s="145"/>
      <c r="J28" s="4"/>
    </row>
    <row r="29" spans="1:10" x14ac:dyDescent="0.2">
      <c r="A29" s="92">
        <v>1984</v>
      </c>
      <c r="B29" s="95">
        <f>'Rakenteellinen jäämä'!B30</f>
        <v>3.2763235000000002E-2</v>
      </c>
      <c r="C29" s="94" t="str">
        <f t="shared" si="0"/>
        <v>Ei</v>
      </c>
      <c r="D29" s="145"/>
      <c r="E29" s="95">
        <f>'Rakenteellinen jäämä'!K30</f>
        <v>3.2763235000000002E-2</v>
      </c>
      <c r="F29" s="94" t="str">
        <f t="shared" si="1"/>
        <v>Ei</v>
      </c>
      <c r="G29" s="145"/>
      <c r="J29" s="4"/>
    </row>
    <row r="30" spans="1:10" x14ac:dyDescent="0.2">
      <c r="A30" s="92">
        <v>1985</v>
      </c>
      <c r="B30" s="95">
        <f>'Rakenteellinen jäämä'!B31</f>
        <v>3.4042330000000003E-2</v>
      </c>
      <c r="C30" s="94" t="str">
        <f t="shared" si="0"/>
        <v>Ei</v>
      </c>
      <c r="D30" s="145"/>
      <c r="E30" s="95">
        <f>'Rakenteellinen jäämä'!K31</f>
        <v>3.4042330000000003E-2</v>
      </c>
      <c r="F30" s="94" t="str">
        <f t="shared" si="1"/>
        <v>Ei</v>
      </c>
      <c r="G30" s="145"/>
      <c r="J30" s="4"/>
    </row>
    <row r="31" spans="1:10" x14ac:dyDescent="0.2">
      <c r="A31" s="92">
        <v>1986</v>
      </c>
      <c r="B31" s="95">
        <f>'Rakenteellinen jäämä'!B32</f>
        <v>3.8679857000000005E-2</v>
      </c>
      <c r="C31" s="94" t="str">
        <f t="shared" si="0"/>
        <v>Ei</v>
      </c>
      <c r="D31" s="145"/>
      <c r="E31" s="95">
        <f>'Rakenteellinen jäämä'!K32</f>
        <v>3.8679857000000005E-2</v>
      </c>
      <c r="F31" s="94" t="str">
        <f t="shared" si="1"/>
        <v>Ei</v>
      </c>
      <c r="G31" s="145"/>
      <c r="J31" s="4"/>
    </row>
    <row r="32" spans="1:10" x14ac:dyDescent="0.2">
      <c r="A32" s="92">
        <v>1987</v>
      </c>
      <c r="B32" s="95">
        <f>'Rakenteellinen jäämä'!B33</f>
        <v>1.6478646999999999E-2</v>
      </c>
      <c r="C32" s="94" t="str">
        <f t="shared" si="0"/>
        <v>Ei</v>
      </c>
      <c r="D32" s="145"/>
      <c r="E32" s="95">
        <f>'Rakenteellinen jäämä'!K33</f>
        <v>1.6478646999999999E-2</v>
      </c>
      <c r="F32" s="94" t="str">
        <f t="shared" si="1"/>
        <v>Ei</v>
      </c>
      <c r="G32" s="145"/>
      <c r="J32" s="4"/>
    </row>
    <row r="33" spans="1:10" x14ac:dyDescent="0.2">
      <c r="A33" s="92">
        <v>1988</v>
      </c>
      <c r="B33" s="95">
        <f>'Rakenteellinen jäämä'!B34</f>
        <v>5.2491280000000001E-2</v>
      </c>
      <c r="C33" s="94" t="str">
        <f t="shared" si="0"/>
        <v>Ei</v>
      </c>
      <c r="D33" s="145"/>
      <c r="E33" s="95">
        <f>'Rakenteellinen jäämä'!K34</f>
        <v>5.2491280000000001E-2</v>
      </c>
      <c r="F33" s="94" t="str">
        <f t="shared" si="1"/>
        <v>Ei</v>
      </c>
      <c r="G33" s="145"/>
      <c r="J33" s="4"/>
    </row>
    <row r="34" spans="1:10" x14ac:dyDescent="0.2">
      <c r="A34" s="92">
        <v>1989</v>
      </c>
      <c r="B34" s="95">
        <f>'Rakenteellinen jäämä'!B35</f>
        <v>6.8287242999999997E-2</v>
      </c>
      <c r="C34" s="94" t="str">
        <f t="shared" si="0"/>
        <v>Ei</v>
      </c>
      <c r="D34" s="145"/>
      <c r="E34" s="95">
        <f>'Rakenteellinen jäämä'!K35</f>
        <v>6.8287242999999997E-2</v>
      </c>
      <c r="F34" s="94" t="str">
        <f t="shared" si="1"/>
        <v>Ei</v>
      </c>
      <c r="G34" s="145"/>
      <c r="J34" s="4"/>
    </row>
    <row r="35" spans="1:10" x14ac:dyDescent="0.2">
      <c r="A35" s="92">
        <v>1990</v>
      </c>
      <c r="B35" s="95">
        <f>'Rakenteellinen jäämä'!B36</f>
        <v>5.3853733000000001E-2</v>
      </c>
      <c r="C35" s="94" t="str">
        <f t="shared" si="0"/>
        <v>Ei</v>
      </c>
      <c r="D35" s="145"/>
      <c r="E35" s="95">
        <f>'Rakenteellinen jäämä'!K36</f>
        <v>5.3853733000000001E-2</v>
      </c>
      <c r="F35" s="94" t="str">
        <f t="shared" si="1"/>
        <v>Ei</v>
      </c>
      <c r="G35" s="145"/>
      <c r="J35" s="4"/>
    </row>
    <row r="36" spans="1:10" x14ac:dyDescent="0.2">
      <c r="A36" s="92">
        <v>1991</v>
      </c>
      <c r="B36" s="95">
        <f>'Rakenteellinen jäämä'!B37</f>
        <v>-9.5168800000000001E-3</v>
      </c>
      <c r="C36" s="94" t="str">
        <f t="shared" si="0"/>
        <v>Ei</v>
      </c>
      <c r="D36" s="145"/>
      <c r="E36" s="95">
        <f>'Rakenteellinen jäämä'!K37</f>
        <v>-9.5168800000000001E-3</v>
      </c>
      <c r="F36" s="94" t="str">
        <f t="shared" si="1"/>
        <v>Ei</v>
      </c>
      <c r="G36" s="145"/>
      <c r="J36" s="4"/>
    </row>
    <row r="37" spans="1:10" x14ac:dyDescent="0.2">
      <c r="A37" s="92">
        <v>1992</v>
      </c>
      <c r="B37" s="95">
        <f>'Rakenteellinen jäämä'!B38</f>
        <v>-5.4564293E-2</v>
      </c>
      <c r="C37" s="94" t="str">
        <f t="shared" si="0"/>
        <v>Kyllä</v>
      </c>
      <c r="D37" s="145"/>
      <c r="E37" s="95">
        <f>'Rakenteellinen jäämä'!K38</f>
        <v>-5.4564293E-2</v>
      </c>
      <c r="F37" s="94" t="str">
        <f t="shared" si="1"/>
        <v>Kyllä</v>
      </c>
      <c r="G37" s="145"/>
      <c r="J37" s="4"/>
    </row>
    <row r="38" spans="1:10" x14ac:dyDescent="0.2">
      <c r="A38" s="92">
        <v>1993</v>
      </c>
      <c r="B38" s="95">
        <f>'Rakenteellinen jäämä'!B39</f>
        <v>-8.2250876000000001E-2</v>
      </c>
      <c r="C38" s="94" t="str">
        <f t="shared" si="0"/>
        <v>Kyllä</v>
      </c>
      <c r="D38" s="145"/>
      <c r="E38" s="95">
        <f>'Rakenteellinen jäämä'!K39</f>
        <v>-8.2250876000000001E-2</v>
      </c>
      <c r="F38" s="94" t="str">
        <f t="shared" si="1"/>
        <v>Kyllä</v>
      </c>
      <c r="G38" s="145"/>
      <c r="J38" s="4"/>
    </row>
    <row r="39" spans="1:10" x14ac:dyDescent="0.2">
      <c r="A39" s="92">
        <v>1994</v>
      </c>
      <c r="B39" s="95">
        <f>'Rakenteellinen jäämä'!B40</f>
        <v>-6.6761685000000001E-2</v>
      </c>
      <c r="C39" s="94" t="str">
        <f t="shared" si="0"/>
        <v>Kyllä</v>
      </c>
      <c r="D39" s="145"/>
      <c r="E39" s="95">
        <f>'Rakenteellinen jäämä'!K40</f>
        <v>-6.6761685000000001E-2</v>
      </c>
      <c r="F39" s="94" t="str">
        <f t="shared" si="1"/>
        <v>Kyllä</v>
      </c>
      <c r="G39" s="145"/>
      <c r="J39" s="4"/>
    </row>
    <row r="40" spans="1:10" x14ac:dyDescent="0.2">
      <c r="A40" s="92">
        <v>1995</v>
      </c>
      <c r="B40" s="95">
        <f>'Rakenteellinen jäämä'!B41</f>
        <v>-6.1240423000000002E-2</v>
      </c>
      <c r="C40" s="94" t="str">
        <f t="shared" si="0"/>
        <v>Kyllä</v>
      </c>
      <c r="D40" s="145"/>
      <c r="E40" s="95">
        <f>'Rakenteellinen jäämä'!K41</f>
        <v>-6.1240423000000002E-2</v>
      </c>
      <c r="F40" s="94" t="str">
        <f t="shared" si="1"/>
        <v>Kyllä</v>
      </c>
      <c r="G40" s="145"/>
      <c r="J40" s="4"/>
    </row>
    <row r="41" spans="1:10" x14ac:dyDescent="0.2">
      <c r="A41" s="92">
        <v>1996</v>
      </c>
      <c r="B41" s="95">
        <f>'Rakenteellinen jäämä'!B42</f>
        <v>-3.3834018E-2</v>
      </c>
      <c r="C41" s="94" t="str">
        <f t="shared" si="0"/>
        <v>Kyllä</v>
      </c>
      <c r="D41" s="145"/>
      <c r="E41" s="95">
        <f>'Rakenteellinen jäämä'!K42</f>
        <v>-3.3834018E-2</v>
      </c>
      <c r="F41" s="94" t="str">
        <f t="shared" si="1"/>
        <v>Kyllä</v>
      </c>
      <c r="G41" s="145"/>
      <c r="J41" s="4"/>
    </row>
    <row r="42" spans="1:10" x14ac:dyDescent="0.2">
      <c r="A42" s="92">
        <v>1997</v>
      </c>
      <c r="B42" s="95">
        <f>'Rakenteellinen jäämä'!B43</f>
        <v>-1.2823617000000001E-2</v>
      </c>
      <c r="C42" s="94" t="str">
        <f t="shared" si="0"/>
        <v>Ei</v>
      </c>
      <c r="D42" s="145"/>
      <c r="E42" s="95">
        <f>'Rakenteellinen jäämä'!K43</f>
        <v>-1.2823617000000001E-2</v>
      </c>
      <c r="F42" s="94" t="str">
        <f t="shared" si="1"/>
        <v>Ei</v>
      </c>
      <c r="G42" s="145"/>
      <c r="J42" s="4"/>
    </row>
    <row r="43" spans="1:10" x14ac:dyDescent="0.2">
      <c r="A43" s="92">
        <v>1998</v>
      </c>
      <c r="B43" s="95">
        <f>'Rakenteellinen jäämä'!B44</f>
        <v>1.6625082999999999E-2</v>
      </c>
      <c r="C43" s="94" t="str">
        <f t="shared" si="0"/>
        <v>Ei</v>
      </c>
      <c r="D43" s="145"/>
      <c r="E43" s="95">
        <f>'Rakenteellinen jäämä'!K44</f>
        <v>1.6625082999999999E-2</v>
      </c>
      <c r="F43" s="94" t="str">
        <f t="shared" si="1"/>
        <v>Ei</v>
      </c>
      <c r="G43" s="145"/>
      <c r="J43" s="4"/>
    </row>
    <row r="44" spans="1:10" x14ac:dyDescent="0.2">
      <c r="A44" s="92">
        <v>1999</v>
      </c>
      <c r="B44" s="95">
        <f>'Rakenteellinen jäämä'!B45</f>
        <v>1.7216994999999999E-2</v>
      </c>
      <c r="C44" s="94" t="str">
        <f t="shared" si="0"/>
        <v>Ei</v>
      </c>
      <c r="D44" s="145"/>
      <c r="E44" s="95">
        <f>'Rakenteellinen jäämä'!K45</f>
        <v>1.7216994999999999E-2</v>
      </c>
      <c r="F44" s="94" t="str">
        <f t="shared" si="1"/>
        <v>Ei</v>
      </c>
      <c r="G44" s="145"/>
      <c r="J44" s="4"/>
    </row>
    <row r="45" spans="1:10" x14ac:dyDescent="0.2">
      <c r="A45" s="92">
        <v>2000</v>
      </c>
      <c r="B45" s="95">
        <f>'Rakenteellinen jäämä'!B46</f>
        <v>7.0191762000000005E-2</v>
      </c>
      <c r="C45" s="94" t="str">
        <f t="shared" si="0"/>
        <v>Ei</v>
      </c>
      <c r="D45" s="145"/>
      <c r="E45" s="95">
        <f>'Rakenteellinen jäämä'!K46</f>
        <v>7.0191762000000005E-2</v>
      </c>
      <c r="F45" s="94" t="str">
        <f t="shared" si="1"/>
        <v>Ei</v>
      </c>
      <c r="G45" s="145"/>
      <c r="J45" s="4"/>
    </row>
    <row r="46" spans="1:10" x14ac:dyDescent="0.2">
      <c r="A46" s="92">
        <v>2001</v>
      </c>
      <c r="B46" s="95">
        <f>'Rakenteellinen jäämä'!B47</f>
        <v>5.1246339000000002E-2</v>
      </c>
      <c r="C46" s="94" t="str">
        <f t="shared" si="0"/>
        <v>Ei</v>
      </c>
      <c r="D46" s="145"/>
      <c r="E46" s="95">
        <f>'Rakenteellinen jäämä'!K47</f>
        <v>5.1246339000000002E-2</v>
      </c>
      <c r="F46" s="94" t="str">
        <f t="shared" si="1"/>
        <v>Ei</v>
      </c>
      <c r="G46" s="145"/>
      <c r="J46" s="4"/>
    </row>
    <row r="47" spans="1:10" x14ac:dyDescent="0.2">
      <c r="A47" s="92">
        <v>2002</v>
      </c>
      <c r="B47" s="95">
        <f>'Rakenteellinen jäämä'!B48</f>
        <v>4.1713657000000001E-2</v>
      </c>
      <c r="C47" s="94" t="str">
        <f t="shared" si="0"/>
        <v>Ei</v>
      </c>
      <c r="D47" s="145"/>
      <c r="E47" s="95">
        <f>'Rakenteellinen jäämä'!K48</f>
        <v>4.1713657000000001E-2</v>
      </c>
      <c r="F47" s="94" t="str">
        <f t="shared" si="1"/>
        <v>Ei</v>
      </c>
      <c r="G47" s="145"/>
      <c r="J47" s="4"/>
    </row>
    <row r="48" spans="1:10" x14ac:dyDescent="0.2">
      <c r="A48" s="92">
        <v>2003</v>
      </c>
      <c r="B48" s="95">
        <f>'Rakenteellinen jäämä'!B49</f>
        <v>2.6496072999999998E-2</v>
      </c>
      <c r="C48" s="94" t="str">
        <f t="shared" si="0"/>
        <v>Ei</v>
      </c>
      <c r="D48" s="145"/>
      <c r="E48" s="95">
        <f>'Rakenteellinen jäämä'!K49</f>
        <v>2.6496072999999998E-2</v>
      </c>
      <c r="F48" s="94" t="str">
        <f t="shared" si="1"/>
        <v>Ei</v>
      </c>
      <c r="G48" s="145"/>
      <c r="J48" s="4"/>
    </row>
    <row r="49" spans="1:10" x14ac:dyDescent="0.2">
      <c r="A49" s="92">
        <v>2004</v>
      </c>
      <c r="B49" s="95">
        <f>'Rakenteellinen jäämä'!B50</f>
        <v>2.4667358E-2</v>
      </c>
      <c r="C49" s="94" t="str">
        <f t="shared" si="0"/>
        <v>Ei</v>
      </c>
      <c r="D49" s="145"/>
      <c r="E49" s="95">
        <f>'Rakenteellinen jäämä'!K50</f>
        <v>2.4667358E-2</v>
      </c>
      <c r="F49" s="94" t="str">
        <f t="shared" si="1"/>
        <v>Ei</v>
      </c>
      <c r="G49" s="145"/>
      <c r="J49" s="4"/>
    </row>
    <row r="50" spans="1:10" x14ac:dyDescent="0.2">
      <c r="A50" s="92">
        <v>2005</v>
      </c>
      <c r="B50" s="95">
        <f>'Rakenteellinen jäämä'!B51</f>
        <v>2.8800284999999998E-2</v>
      </c>
      <c r="C50" s="94" t="str">
        <f t="shared" si="0"/>
        <v>Ei</v>
      </c>
      <c r="D50" s="145"/>
      <c r="E50" s="95">
        <f>'Rakenteellinen jäämä'!K51</f>
        <v>2.8800284999999998E-2</v>
      </c>
      <c r="F50" s="94" t="str">
        <f t="shared" si="1"/>
        <v>Ei</v>
      </c>
      <c r="G50" s="145"/>
      <c r="J50" s="4"/>
    </row>
    <row r="51" spans="1:10" x14ac:dyDescent="0.2">
      <c r="A51" s="92">
        <v>2006</v>
      </c>
      <c r="B51" s="95">
        <f>'Rakenteellinen jäämä'!B52</f>
        <v>4.1890628000000006E-2</v>
      </c>
      <c r="C51" s="94" t="str">
        <f t="shared" si="0"/>
        <v>Ei</v>
      </c>
      <c r="D51" s="145"/>
      <c r="E51" s="95">
        <f>'Rakenteellinen jäämä'!K52</f>
        <v>4.1890628000000006E-2</v>
      </c>
      <c r="F51" s="94" t="str">
        <f t="shared" si="1"/>
        <v>Ei</v>
      </c>
      <c r="G51" s="145"/>
      <c r="J51" s="4"/>
    </row>
    <row r="52" spans="1:10" x14ac:dyDescent="0.2">
      <c r="A52" s="92">
        <v>2007</v>
      </c>
      <c r="B52" s="95">
        <f>'Rakenteellinen jäämä'!B53</f>
        <v>5.3383751000000007E-2</v>
      </c>
      <c r="C52" s="94" t="str">
        <f t="shared" si="0"/>
        <v>Ei</v>
      </c>
      <c r="D52" s="145"/>
      <c r="E52" s="95">
        <f>'Rakenteellinen jäämä'!K53</f>
        <v>5.3383751000000007E-2</v>
      </c>
      <c r="F52" s="94" t="str">
        <f t="shared" si="1"/>
        <v>Ei</v>
      </c>
      <c r="G52" s="145"/>
      <c r="J52" s="4"/>
    </row>
    <row r="53" spans="1:10" x14ac:dyDescent="0.2">
      <c r="A53" s="92">
        <v>2008</v>
      </c>
      <c r="B53" s="95">
        <f>'Rakenteellinen jäämä'!B54</f>
        <v>4.3948942000000005E-2</v>
      </c>
      <c r="C53" s="94" t="str">
        <f t="shared" si="0"/>
        <v>Ei</v>
      </c>
      <c r="D53" s="145"/>
      <c r="E53" s="95">
        <f>'Rakenteellinen jäämä'!K54</f>
        <v>4.3948942000000005E-2</v>
      </c>
      <c r="F53" s="94" t="str">
        <f t="shared" si="1"/>
        <v>Ei</v>
      </c>
      <c r="G53" s="145"/>
      <c r="J53" s="4"/>
    </row>
    <row r="54" spans="1:10" x14ac:dyDescent="0.2">
      <c r="A54" s="92">
        <v>2009</v>
      </c>
      <c r="B54" s="95">
        <f>'Rakenteellinen jäämä'!B55</f>
        <v>-2.4663702999999999E-2</v>
      </c>
      <c r="C54" s="94" t="str">
        <f t="shared" si="0"/>
        <v>Ei</v>
      </c>
      <c r="D54" s="145"/>
      <c r="E54" s="95">
        <f>'Rakenteellinen jäämä'!K55</f>
        <v>-2.4663702999999999E-2</v>
      </c>
      <c r="F54" s="94" t="str">
        <f t="shared" si="1"/>
        <v>Ei</v>
      </c>
      <c r="G54" s="145"/>
      <c r="J54" s="4"/>
    </row>
    <row r="55" spans="1:10" x14ac:dyDescent="0.2">
      <c r="A55" s="92">
        <v>2010</v>
      </c>
      <c r="B55" s="95">
        <f>'Rakenteellinen jäämä'!B56</f>
        <v>-2.4926702999999998E-2</v>
      </c>
      <c r="C55" s="94" t="str">
        <f t="shared" si="0"/>
        <v>Ei</v>
      </c>
      <c r="D55" s="145"/>
      <c r="E55" s="95">
        <f>'Rakenteellinen jäämä'!K56</f>
        <v>-2.4926702999999998E-2</v>
      </c>
      <c r="F55" s="94" t="str">
        <f t="shared" si="1"/>
        <v>Ei</v>
      </c>
      <c r="G55" s="145"/>
      <c r="H55" s="95">
        <f>'Rakenteellinen jäämä'!Y56</f>
        <v>-2.4926702999999998E-2</v>
      </c>
      <c r="I55" s="94" t="str">
        <f>IF(H55&lt;-0.03,"Kyllä","Ei")</f>
        <v>Ei</v>
      </c>
      <c r="J55" s="4"/>
    </row>
    <row r="56" spans="1:10" x14ac:dyDescent="0.2">
      <c r="A56" s="92">
        <v>2011</v>
      </c>
      <c r="B56" s="95">
        <f>'Rakenteellinen jäämä'!B57</f>
        <v>-7.1843339999999997E-3</v>
      </c>
      <c r="C56" s="94" t="str">
        <f t="shared" si="0"/>
        <v>Ei</v>
      </c>
      <c r="D56" s="145"/>
      <c r="E56" s="95">
        <f>'Rakenteellinen jäämä'!K57</f>
        <v>-7.1843339999999997E-3</v>
      </c>
      <c r="F56" s="94" t="str">
        <f t="shared" si="1"/>
        <v>Ei</v>
      </c>
      <c r="G56" s="145"/>
      <c r="H56" s="95">
        <f>'Rakenteellinen jäämä'!Y57</f>
        <v>-7.1843339999999997E-3</v>
      </c>
      <c r="I56" s="94" t="str">
        <f t="shared" ref="I56:I60" si="2">IF(H56&lt;-0.03,"Kyllä","Ei")</f>
        <v>Ei</v>
      </c>
      <c r="J56" s="4"/>
    </row>
    <row r="57" spans="1:10" x14ac:dyDescent="0.2">
      <c r="A57" s="92">
        <v>2012</v>
      </c>
      <c r="B57" s="95">
        <f>'Rakenteellinen jäämä'!B58</f>
        <v>-1.8258383E-2</v>
      </c>
      <c r="C57" s="94" t="str">
        <f t="shared" si="0"/>
        <v>Ei</v>
      </c>
      <c r="D57" s="145"/>
      <c r="E57" s="95">
        <f>'Rakenteellinen jäämä'!K58</f>
        <v>-1.8258383E-2</v>
      </c>
      <c r="F57" s="94" t="str">
        <f t="shared" si="1"/>
        <v>Ei</v>
      </c>
      <c r="G57" s="145"/>
      <c r="H57" s="95">
        <f>'Rakenteellinen jäämä'!Y58</f>
        <v>-1.8258383E-2</v>
      </c>
      <c r="I57" s="94" t="str">
        <f t="shared" si="2"/>
        <v>Ei</v>
      </c>
      <c r="J57" s="4"/>
    </row>
    <row r="58" spans="1:10" x14ac:dyDescent="0.2">
      <c r="A58" s="92">
        <v>2013</v>
      </c>
      <c r="B58" s="95">
        <f>'Rakenteellinen jäämä'!B59</f>
        <v>-2.1122501201904436E-2</v>
      </c>
      <c r="C58" s="94" t="str">
        <f t="shared" si="0"/>
        <v>Ei</v>
      </c>
      <c r="D58" s="145"/>
      <c r="E58" s="95">
        <f>'Rakenteellinen jäämä'!K59</f>
        <v>-2.1122501201904401E-2</v>
      </c>
      <c r="F58" s="94" t="str">
        <f t="shared" si="1"/>
        <v>Ei</v>
      </c>
      <c r="G58" s="145"/>
      <c r="H58" s="95">
        <f>'Rakenteellinen jäämä'!Y59</f>
        <v>-2.1122501201904419E-2</v>
      </c>
      <c r="I58" s="94" t="str">
        <f t="shared" si="2"/>
        <v>Ei</v>
      </c>
      <c r="J58" s="4"/>
    </row>
    <row r="59" spans="1:10" x14ac:dyDescent="0.2">
      <c r="A59" s="92">
        <v>2014</v>
      </c>
      <c r="B59" s="95">
        <f>'Rakenteellinen jäämä'!B60</f>
        <v>-2.2158196201904436E-2</v>
      </c>
      <c r="C59" s="94" t="str">
        <f t="shared" si="0"/>
        <v>Ei</v>
      </c>
      <c r="D59" s="145"/>
      <c r="E59" s="95">
        <f>'Rakenteellinen jäämä'!K60</f>
        <v>-2.1484436126918933E-2</v>
      </c>
      <c r="F59" s="94" t="str">
        <f t="shared" si="1"/>
        <v>Ei</v>
      </c>
      <c r="G59" s="145"/>
      <c r="H59" s="95">
        <f>'Rakenteellinen jäämä'!Y60</f>
        <v>-2.1821316164411686E-2</v>
      </c>
      <c r="I59" s="94" t="str">
        <f t="shared" si="2"/>
        <v>Ei</v>
      </c>
      <c r="J59" s="4"/>
    </row>
    <row r="60" spans="1:10" x14ac:dyDescent="0.2">
      <c r="A60" s="92">
        <v>2015</v>
      </c>
      <c r="B60" s="95"/>
      <c r="C60" s="94"/>
      <c r="D60" s="145"/>
      <c r="E60" s="95">
        <f>'Rakenteellinen jäämä'!K61</f>
        <v>-1.1839263979895391E-2</v>
      </c>
      <c r="F60" s="94" t="str">
        <f t="shared" si="1"/>
        <v>Ei</v>
      </c>
      <c r="G60" s="145"/>
      <c r="H60" s="95">
        <f>'Rakenteellinen jäämä'!Y61</f>
        <v>-5.9196319899476957E-3</v>
      </c>
      <c r="I60" s="94" t="str">
        <f t="shared" si="2"/>
        <v>Ei</v>
      </c>
      <c r="J60" s="4"/>
    </row>
    <row r="61" spans="1:10" x14ac:dyDescent="0.2">
      <c r="A61" s="92">
        <v>2016</v>
      </c>
      <c r="B61" s="95"/>
      <c r="C61" s="94"/>
      <c r="D61" s="145"/>
      <c r="E61" s="95">
        <f>'Rakenteellinen jäämä'!K62</f>
        <v>-6.3443438245200587E-3</v>
      </c>
      <c r="F61" s="94" t="str">
        <f t="shared" si="1"/>
        <v>Ei</v>
      </c>
      <c r="G61" s="145"/>
      <c r="H61" s="140"/>
      <c r="J61" s="4"/>
    </row>
    <row r="62" spans="1:10" x14ac:dyDescent="0.2">
      <c r="A62" s="97">
        <v>2017</v>
      </c>
      <c r="B62" s="95"/>
      <c r="C62" s="94"/>
      <c r="D62" s="145"/>
      <c r="E62" s="95">
        <f>'Rakenteellinen jäämä'!K63</f>
        <v>-1.0500833901683675E-3</v>
      </c>
      <c r="F62" s="94" t="str">
        <f t="shared" si="1"/>
        <v>Ei</v>
      </c>
      <c r="G62" s="145"/>
      <c r="J62" s="4"/>
    </row>
    <row r="63" spans="1:10" ht="15" thickBot="1" x14ac:dyDescent="0.25">
      <c r="A63" s="100">
        <v>2018</v>
      </c>
      <c r="B63" s="102"/>
      <c r="C63" s="101"/>
      <c r="D63" s="146"/>
      <c r="E63" s="102">
        <f>'Rakenteellinen jäämä'!K64</f>
        <v>1.8929668361148859E-3</v>
      </c>
      <c r="F63" s="101" t="str">
        <f t="shared" si="1"/>
        <v>Ei</v>
      </c>
      <c r="G63" s="146"/>
      <c r="H63" s="103"/>
      <c r="I63" s="103"/>
      <c r="J63" s="28"/>
    </row>
    <row r="64" spans="1:10" ht="15" thickTop="1" x14ac:dyDescent="0.2"/>
  </sheetData>
  <mergeCells count="3">
    <mergeCell ref="B1:C1"/>
    <mergeCell ref="E1:F1"/>
    <mergeCell ref="H1:I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AO64"/>
  <sheetViews>
    <sheetView workbookViewId="0">
      <pane xSplit="1" topLeftCell="B1" activePane="topRight" state="frozen"/>
      <selection pane="topRight"/>
    </sheetView>
  </sheetViews>
  <sheetFormatPr defaultRowHeight="14.25" x14ac:dyDescent="0.2"/>
  <cols>
    <col min="2" max="2" width="17.75" customWidth="1"/>
    <col min="3" max="3" width="14.875" customWidth="1"/>
    <col min="4" max="4" width="15.375" customWidth="1"/>
    <col min="5" max="5" width="19.5" customWidth="1"/>
    <col min="6" max="6" width="19.75" customWidth="1"/>
    <col min="7" max="7" width="20.25" customWidth="1"/>
    <col min="8" max="8" width="18.25" customWidth="1"/>
    <col min="9" max="9" width="16.375" customWidth="1"/>
    <col min="10" max="10" width="17" customWidth="1"/>
    <col min="11" max="11" width="16.625" customWidth="1"/>
    <col min="12" max="12" width="15" customWidth="1"/>
    <col min="13" max="13" width="16.875" customWidth="1"/>
    <col min="14" max="14" width="13.625" customWidth="1"/>
    <col min="15" max="15" width="18.875" customWidth="1"/>
    <col min="16" max="16" width="13.375" customWidth="1"/>
    <col min="17" max="17" width="14.25" customWidth="1"/>
    <col min="18" max="18" width="19" customWidth="1"/>
    <col min="19" max="19" width="12" customWidth="1"/>
    <col min="20" max="20" width="15.375" customWidth="1"/>
    <col min="22" max="22" width="17.5" customWidth="1"/>
    <col min="23" max="23" width="14.875" customWidth="1"/>
    <col min="24" max="24" width="14.75" customWidth="1"/>
    <col min="25" max="25" width="12.5" customWidth="1"/>
    <col min="26" max="26" width="18" customWidth="1"/>
    <col min="27" max="27" width="16.875" customWidth="1"/>
    <col min="28" max="28" width="17.75" customWidth="1"/>
    <col min="29" max="29" width="15.625" customWidth="1"/>
    <col min="30" max="30" width="15.375" customWidth="1"/>
    <col min="31" max="31" width="18.875" customWidth="1"/>
    <col min="32" max="32" width="14" customWidth="1"/>
    <col min="33" max="33" width="14.25" customWidth="1"/>
    <col min="34" max="34" width="15.875" customWidth="1"/>
    <col min="35" max="35" width="17.875" customWidth="1"/>
    <col min="36" max="36" width="12.75" customWidth="1"/>
    <col min="37" max="37" width="12.875" customWidth="1"/>
    <col min="38" max="38" width="20" customWidth="1"/>
    <col min="39" max="39" width="16.25" customWidth="1"/>
    <col min="40" max="40" width="18.5" customWidth="1"/>
  </cols>
  <sheetData>
    <row r="1" spans="1:41" ht="22.5" x14ac:dyDescent="0.3">
      <c r="A1" s="140"/>
      <c r="B1" s="308" t="s">
        <v>58</v>
      </c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308"/>
      <c r="O1" s="308"/>
      <c r="P1" s="308"/>
      <c r="Q1" s="308"/>
      <c r="R1" s="308"/>
      <c r="S1" s="308"/>
      <c r="T1" s="308"/>
      <c r="U1" s="140"/>
      <c r="V1" s="308" t="s">
        <v>59</v>
      </c>
      <c r="W1" s="308"/>
      <c r="X1" s="308"/>
      <c r="Y1" s="308"/>
      <c r="Z1" s="308"/>
      <c r="AA1" s="308"/>
      <c r="AB1" s="308"/>
      <c r="AC1" s="308"/>
      <c r="AD1" s="308"/>
      <c r="AE1" s="308"/>
      <c r="AF1" s="308"/>
      <c r="AG1" s="308"/>
      <c r="AH1" s="308"/>
      <c r="AI1" s="308"/>
      <c r="AJ1" s="308"/>
      <c r="AK1" s="308"/>
      <c r="AL1" s="308"/>
      <c r="AM1" s="308"/>
      <c r="AN1" s="308"/>
      <c r="AO1" s="140"/>
    </row>
    <row r="2" spans="1:41" ht="45" x14ac:dyDescent="0.25">
      <c r="A2" s="140"/>
      <c r="B2" s="313" t="s">
        <v>207</v>
      </c>
      <c r="C2" s="313"/>
      <c r="D2" s="313" t="s">
        <v>421</v>
      </c>
      <c r="E2" s="313"/>
      <c r="F2" s="150" t="s">
        <v>422</v>
      </c>
      <c r="G2" s="313" t="s">
        <v>208</v>
      </c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151" t="s">
        <v>209</v>
      </c>
      <c r="U2" s="145"/>
      <c r="V2" s="313" t="s">
        <v>210</v>
      </c>
      <c r="W2" s="313"/>
      <c r="X2" s="314" t="s">
        <v>421</v>
      </c>
      <c r="Y2" s="314"/>
      <c r="Z2" s="150" t="s">
        <v>422</v>
      </c>
      <c r="AA2" s="313" t="s">
        <v>208</v>
      </c>
      <c r="AB2" s="313"/>
      <c r="AC2" s="313"/>
      <c r="AD2" s="313"/>
      <c r="AE2" s="313"/>
      <c r="AF2" s="313"/>
      <c r="AG2" s="313"/>
      <c r="AH2" s="313"/>
      <c r="AI2" s="313"/>
      <c r="AJ2" s="313"/>
      <c r="AK2" s="313"/>
      <c r="AL2" s="313"/>
      <c r="AM2" s="313"/>
      <c r="AN2" s="151" t="s">
        <v>209</v>
      </c>
      <c r="AO2" s="145"/>
    </row>
    <row r="3" spans="1:41" ht="71.25" x14ac:dyDescent="0.2">
      <c r="A3" s="140" t="s">
        <v>1</v>
      </c>
      <c r="B3" s="96" t="s">
        <v>211</v>
      </c>
      <c r="C3" s="152" t="s">
        <v>212</v>
      </c>
      <c r="D3" s="96" t="s">
        <v>213</v>
      </c>
      <c r="E3" s="152" t="s">
        <v>214</v>
      </c>
      <c r="F3" s="152" t="s">
        <v>215</v>
      </c>
      <c r="G3" s="94" t="s">
        <v>4</v>
      </c>
      <c r="H3" s="94" t="s">
        <v>216</v>
      </c>
      <c r="I3" s="96" t="s">
        <v>217</v>
      </c>
      <c r="J3" s="96" t="s">
        <v>52</v>
      </c>
      <c r="K3" s="96" t="s">
        <v>52</v>
      </c>
      <c r="L3" s="96" t="s">
        <v>218</v>
      </c>
      <c r="M3" s="96" t="s">
        <v>218</v>
      </c>
      <c r="N3" s="96" t="s">
        <v>219</v>
      </c>
      <c r="O3" s="96" t="s">
        <v>220</v>
      </c>
      <c r="P3" s="96" t="s">
        <v>221</v>
      </c>
      <c r="Q3" s="96" t="s">
        <v>222</v>
      </c>
      <c r="R3" s="96" t="s">
        <v>223</v>
      </c>
      <c r="S3" s="152" t="s">
        <v>224</v>
      </c>
      <c r="T3" s="289" t="s">
        <v>395</v>
      </c>
      <c r="U3" s="145"/>
      <c r="V3" s="96" t="s">
        <v>211</v>
      </c>
      <c r="W3" s="152" t="s">
        <v>212</v>
      </c>
      <c r="X3" s="96" t="s">
        <v>213</v>
      </c>
      <c r="Y3" s="152" t="s">
        <v>214</v>
      </c>
      <c r="Z3" s="152" t="s">
        <v>215</v>
      </c>
      <c r="AA3" s="94" t="s">
        <v>4</v>
      </c>
      <c r="AB3" s="94" t="s">
        <v>216</v>
      </c>
      <c r="AC3" s="96" t="s">
        <v>217</v>
      </c>
      <c r="AD3" s="96" t="s">
        <v>52</v>
      </c>
      <c r="AE3" s="96" t="s">
        <v>52</v>
      </c>
      <c r="AF3" s="96" t="s">
        <v>218</v>
      </c>
      <c r="AG3" s="96" t="s">
        <v>218</v>
      </c>
      <c r="AH3" s="96" t="s">
        <v>219</v>
      </c>
      <c r="AI3" s="96" t="s">
        <v>220</v>
      </c>
      <c r="AJ3" s="96" t="s">
        <v>221</v>
      </c>
      <c r="AK3" s="96" t="s">
        <v>222</v>
      </c>
      <c r="AL3" s="96" t="s">
        <v>223</v>
      </c>
      <c r="AM3" s="152" t="s">
        <v>224</v>
      </c>
      <c r="AN3" s="289" t="s">
        <v>395</v>
      </c>
      <c r="AO3" s="145"/>
    </row>
    <row r="4" spans="1:41" x14ac:dyDescent="0.2">
      <c r="A4" s="140" t="s">
        <v>2</v>
      </c>
      <c r="B4" s="94" t="s">
        <v>62</v>
      </c>
      <c r="C4" s="153" t="s">
        <v>225</v>
      </c>
      <c r="D4" s="140"/>
      <c r="E4" s="153" t="s">
        <v>225</v>
      </c>
      <c r="F4" s="153" t="s">
        <v>225</v>
      </c>
      <c r="G4" s="94" t="s">
        <v>226</v>
      </c>
      <c r="H4" s="94" t="s">
        <v>226</v>
      </c>
      <c r="I4" s="94" t="s">
        <v>227</v>
      </c>
      <c r="J4" s="94" t="s">
        <v>228</v>
      </c>
      <c r="K4" s="94" t="s">
        <v>229</v>
      </c>
      <c r="L4" s="94" t="s">
        <v>230</v>
      </c>
      <c r="M4" s="140" t="s">
        <v>226</v>
      </c>
      <c r="N4" s="140"/>
      <c r="O4" s="140"/>
      <c r="P4" s="140"/>
      <c r="Q4" s="140"/>
      <c r="R4" s="140"/>
      <c r="S4" s="153" t="s">
        <v>225</v>
      </c>
      <c r="T4" s="299" t="s">
        <v>225</v>
      </c>
      <c r="U4" s="145"/>
      <c r="V4" s="94" t="s">
        <v>62</v>
      </c>
      <c r="W4" s="153" t="s">
        <v>225</v>
      </c>
      <c r="X4" s="140"/>
      <c r="Y4" s="153" t="s">
        <v>225</v>
      </c>
      <c r="Z4" s="153" t="s">
        <v>225</v>
      </c>
      <c r="AA4" s="140" t="s">
        <v>226</v>
      </c>
      <c r="AB4" s="140" t="s">
        <v>226</v>
      </c>
      <c r="AC4" s="94" t="s">
        <v>227</v>
      </c>
      <c r="AD4" s="94" t="s">
        <v>228</v>
      </c>
      <c r="AE4" s="94" t="s">
        <v>229</v>
      </c>
      <c r="AF4" s="94" t="s">
        <v>230</v>
      </c>
      <c r="AG4" s="140" t="s">
        <v>226</v>
      </c>
      <c r="AH4" s="140"/>
      <c r="AI4" s="140"/>
      <c r="AJ4" s="140"/>
      <c r="AK4" s="140"/>
      <c r="AL4" s="140"/>
      <c r="AM4" s="153" t="s">
        <v>225</v>
      </c>
      <c r="AN4" s="299" t="s">
        <v>225</v>
      </c>
      <c r="AO4" s="145"/>
    </row>
    <row r="5" spans="1:41" ht="15" thickBot="1" x14ac:dyDescent="0.25">
      <c r="A5" s="103" t="s">
        <v>0</v>
      </c>
      <c r="B5" s="103"/>
      <c r="C5" s="155"/>
      <c r="D5" s="39"/>
      <c r="E5" s="155"/>
      <c r="F5" s="155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103"/>
      <c r="S5" s="155"/>
      <c r="T5" s="156"/>
      <c r="U5" s="146"/>
      <c r="V5" s="103"/>
      <c r="W5" s="155"/>
      <c r="X5" s="103"/>
      <c r="Y5" s="155"/>
      <c r="Z5" s="155"/>
      <c r="AA5" s="103"/>
      <c r="AB5" s="103"/>
      <c r="AC5" s="103"/>
      <c r="AD5" s="103"/>
      <c r="AE5" s="103"/>
      <c r="AF5" s="103"/>
      <c r="AG5" s="103"/>
      <c r="AH5" s="103"/>
      <c r="AI5" s="103"/>
      <c r="AJ5" s="103"/>
      <c r="AK5" s="103"/>
      <c r="AL5" s="103"/>
      <c r="AM5" s="155"/>
      <c r="AN5" s="156"/>
      <c r="AO5" s="145"/>
    </row>
    <row r="6" spans="1:41" ht="15" thickTop="1" x14ac:dyDescent="0.2">
      <c r="A6" s="147" t="s">
        <v>170</v>
      </c>
      <c r="B6" s="140"/>
      <c r="C6" s="157"/>
      <c r="D6" s="38"/>
      <c r="E6" s="153"/>
      <c r="F6" s="158"/>
      <c r="G6" s="15">
        <v>18.018000000000001</v>
      </c>
      <c r="H6" s="140"/>
      <c r="I6" s="15">
        <v>25.246506499999999</v>
      </c>
      <c r="J6" s="15">
        <v>70.63572267750142</v>
      </c>
      <c r="K6" s="15">
        <f>J6*I6/100</f>
        <v>17.833052317097369</v>
      </c>
      <c r="L6" s="95">
        <v>5.4966618335160798E-3</v>
      </c>
      <c r="M6" s="15">
        <f>L6*K6</f>
        <v>9.8022258046484595E-2</v>
      </c>
      <c r="N6" s="15"/>
      <c r="O6" s="15"/>
      <c r="P6" s="15"/>
      <c r="Q6" s="140"/>
      <c r="R6" s="140"/>
      <c r="S6" s="158"/>
      <c r="T6" s="154"/>
      <c r="U6" s="145"/>
      <c r="V6" s="159">
        <v>6.5</v>
      </c>
      <c r="W6" s="157">
        <f t="shared" ref="W6:W49" si="0">IF(V6&lt;60,1,0)</f>
        <v>1</v>
      </c>
      <c r="X6" s="140"/>
      <c r="Y6" s="158"/>
      <c r="Z6" s="158"/>
      <c r="AA6" s="15">
        <f t="shared" ref="AA6:AA38" si="1">G6</f>
        <v>18.018000000000001</v>
      </c>
      <c r="AB6" s="15">
        <f>V6/100*AA6</f>
        <v>1.17117</v>
      </c>
      <c r="AC6" s="15">
        <v>25.246606144873368</v>
      </c>
      <c r="AD6" s="15">
        <v>70.618197592660735</v>
      </c>
      <c r="AE6" s="15">
        <f>AD6*AC6/100</f>
        <v>17.828698212827504</v>
      </c>
      <c r="AF6" s="95">
        <v>5.6274409944994195E-3</v>
      </c>
      <c r="AG6" s="15">
        <f>AE6*AF6</f>
        <v>0.10032994720142403</v>
      </c>
      <c r="AH6" s="140"/>
      <c r="AI6" s="140"/>
      <c r="AJ6" s="140"/>
      <c r="AK6" s="140"/>
      <c r="AL6" s="140"/>
      <c r="AM6" s="158"/>
      <c r="AN6" s="154"/>
      <c r="AO6" s="145"/>
    </row>
    <row r="7" spans="1:41" x14ac:dyDescent="0.2">
      <c r="A7" s="147" t="s">
        <v>171</v>
      </c>
      <c r="B7" s="140"/>
      <c r="C7" s="157"/>
      <c r="D7" s="38"/>
      <c r="E7" s="153"/>
      <c r="F7" s="153"/>
      <c r="G7" s="15">
        <v>20.452999999999999</v>
      </c>
      <c r="H7" s="140"/>
      <c r="I7" s="15">
        <v>28.5600302</v>
      </c>
      <c r="J7" s="15">
        <v>73.261664745713475</v>
      </c>
      <c r="K7" s="15">
        <f t="shared" ref="K7:K46" si="2">J7*I7/100</f>
        <v>20.923553576398522</v>
      </c>
      <c r="L7" s="95">
        <v>-1.1919265256380006E-2</v>
      </c>
      <c r="M7" s="15">
        <f t="shared" ref="M7:M46" si="3">L7*K7</f>
        <v>-0.24939338518317253</v>
      </c>
      <c r="N7" s="95">
        <f>LN(J7)-LN(J6)</f>
        <v>3.6501477429778717E-2</v>
      </c>
      <c r="O7" s="95">
        <f>LN(I7)-LN(I6)</f>
        <v>0.12332040518020282</v>
      </c>
      <c r="P7" s="15"/>
      <c r="Q7" s="140"/>
      <c r="R7" s="140"/>
      <c r="S7" s="158"/>
      <c r="T7" s="154"/>
      <c r="U7" s="145"/>
      <c r="V7" s="15">
        <v>6.1</v>
      </c>
      <c r="W7" s="157">
        <f t="shared" si="0"/>
        <v>1</v>
      </c>
      <c r="X7" s="140"/>
      <c r="Y7" s="158"/>
      <c r="Z7" s="153">
        <f t="shared" ref="Z7:Z46" si="4">IF(V9&lt;X9,1,0)</f>
        <v>1</v>
      </c>
      <c r="AA7" s="15">
        <f t="shared" si="1"/>
        <v>20.452999999999999</v>
      </c>
      <c r="AB7" s="15">
        <f t="shared" ref="AB7:AB49" si="5">V7/100*AA7</f>
        <v>1.247633</v>
      </c>
      <c r="AC7" s="15">
        <v>28.560221901324596</v>
      </c>
      <c r="AD7" s="15">
        <v>73.251523079879718</v>
      </c>
      <c r="AE7" s="15">
        <f t="shared" ref="AE7:AE49" si="6">AD7*AC7/100</f>
        <v>20.920797537713646</v>
      </c>
      <c r="AF7" s="95">
        <v>-1.1851015456809787E-2</v>
      </c>
      <c r="AG7" s="15">
        <f t="shared" ref="AG7:AG49" si="7">AE7*AF7</f>
        <v>-0.24793269498823256</v>
      </c>
      <c r="AH7" s="95">
        <f>LN(AD7)-LN(AD6)</f>
        <v>3.6611173024651222E-2</v>
      </c>
      <c r="AI7" s="95">
        <f>LN(AC7)-LN(AC6)</f>
        <v>0.12332317051192598</v>
      </c>
      <c r="AJ7" s="140"/>
      <c r="AK7" s="140"/>
      <c r="AL7" s="140"/>
      <c r="AM7" s="158"/>
      <c r="AN7" s="154"/>
      <c r="AO7" s="145"/>
    </row>
    <row r="8" spans="1:41" x14ac:dyDescent="0.2">
      <c r="A8" s="147" t="s">
        <v>172</v>
      </c>
      <c r="B8" s="140"/>
      <c r="C8" s="157"/>
      <c r="D8" s="38"/>
      <c r="E8" s="153"/>
      <c r="F8" s="153"/>
      <c r="G8" s="15">
        <v>22.433</v>
      </c>
      <c r="H8" s="140"/>
      <c r="I8" s="15">
        <v>31.250004400000002</v>
      </c>
      <c r="J8" s="15">
        <v>75.703682176796704</v>
      </c>
      <c r="K8" s="15">
        <f t="shared" si="2"/>
        <v>23.657404011210989</v>
      </c>
      <c r="L8" s="95">
        <v>-2.7430486787322104E-2</v>
      </c>
      <c r="M8" s="15">
        <f t="shared" si="3"/>
        <v>-0.64893410815186403</v>
      </c>
      <c r="N8" s="95">
        <f t="shared" ref="N8:N46" si="8">LN(J8)-LN(J7)</f>
        <v>3.2789320067643679E-2</v>
      </c>
      <c r="O8" s="95">
        <f t="shared" ref="O8:O45" si="9">LN(I8)-LN(I7)</f>
        <v>9.001132208860696E-2</v>
      </c>
      <c r="P8" s="15"/>
      <c r="Q8" s="140"/>
      <c r="R8" s="140"/>
      <c r="S8" s="158"/>
      <c r="T8" s="154"/>
      <c r="U8" s="145"/>
      <c r="V8" s="15">
        <v>7.8</v>
      </c>
      <c r="W8" s="157">
        <f t="shared" si="0"/>
        <v>1</v>
      </c>
      <c r="X8" s="140"/>
      <c r="Y8" s="158"/>
      <c r="Z8" s="153">
        <f t="shared" si="4"/>
        <v>1</v>
      </c>
      <c r="AA8" s="15">
        <f t="shared" si="1"/>
        <v>22.433</v>
      </c>
      <c r="AB8" s="15">
        <f t="shared" si="5"/>
        <v>1.7497739999999999</v>
      </c>
      <c r="AC8" s="15">
        <v>31.250194233443189</v>
      </c>
      <c r="AD8" s="15">
        <v>75.710107795904975</v>
      </c>
      <c r="AE8" s="15">
        <f t="shared" si="6"/>
        <v>23.659555740569516</v>
      </c>
      <c r="AF8" s="95">
        <v>-2.7476193958585218E-2</v>
      </c>
      <c r="AG8" s="15">
        <f t="shared" si="7"/>
        <v>-0.65007454250184638</v>
      </c>
      <c r="AH8" s="95">
        <f t="shared" ref="AH8:AH49" si="10">LN(AD8)-LN(AD7)</f>
        <v>3.3012635333903972E-2</v>
      </c>
      <c r="AI8" s="95">
        <f t="shared" ref="AI8:AI49" si="11">LN(AC8)-LN(AC7)</f>
        <v>9.0010684537854324E-2</v>
      </c>
      <c r="AJ8" s="140"/>
      <c r="AK8" s="2">
        <f>AB8+AG8+AG7+AG6</f>
        <v>0.95209670971134508</v>
      </c>
      <c r="AL8" s="140"/>
      <c r="AM8" s="158"/>
      <c r="AN8" s="154"/>
      <c r="AO8" s="145"/>
    </row>
    <row r="9" spans="1:41" x14ac:dyDescent="0.2">
      <c r="A9" s="147" t="s">
        <v>173</v>
      </c>
      <c r="B9" s="140"/>
      <c r="C9" s="157"/>
      <c r="D9" s="38"/>
      <c r="E9" s="153"/>
      <c r="F9" s="153"/>
      <c r="G9" s="15">
        <v>24.809000000000001</v>
      </c>
      <c r="H9" s="140"/>
      <c r="I9" s="15">
        <v>33.579439100000002</v>
      </c>
      <c r="J9" s="15">
        <v>78.009099029599156</v>
      </c>
      <c r="K9" s="15">
        <f t="shared" si="2"/>
        <v>26.195017901102943</v>
      </c>
      <c r="L9" s="95">
        <v>-2.8043098983331464E-2</v>
      </c>
      <c r="M9" s="15">
        <f t="shared" si="3"/>
        <v>-0.7345894798707695</v>
      </c>
      <c r="N9" s="95">
        <f t="shared" si="8"/>
        <v>2.9998673149803423E-2</v>
      </c>
      <c r="O9" s="95">
        <f t="shared" si="9"/>
        <v>7.1894431132613068E-2</v>
      </c>
      <c r="P9" s="15">
        <f t="shared" ref="P9:P46" si="12">G6*(1+N9)*(1+O9)*(1+N8)*(1+O8)*(1+N7)*(1+O7)</f>
        <v>26.074235468908622</v>
      </c>
      <c r="Q9" s="140"/>
      <c r="R9" s="140"/>
      <c r="S9" s="158"/>
      <c r="T9" s="154"/>
      <c r="U9" s="145"/>
      <c r="V9" s="15">
        <v>11.1</v>
      </c>
      <c r="W9" s="157">
        <f t="shared" si="0"/>
        <v>1</v>
      </c>
      <c r="X9" s="15">
        <f t="shared" ref="X9:X48" si="13">60+0.95/3*(V8-60)+((0.95^2)/3)*(V7-60)+((0.95^3)/3)*(V6-60)</f>
        <v>11.965229166666667</v>
      </c>
      <c r="Y9" s="153">
        <f t="shared" ref="Y9:Y48" si="14">IF(V9&lt;X9,1,0)</f>
        <v>1</v>
      </c>
      <c r="Z9" s="153">
        <f t="shared" si="4"/>
        <v>1</v>
      </c>
      <c r="AA9" s="15">
        <f t="shared" si="1"/>
        <v>24.809000000000001</v>
      </c>
      <c r="AB9" s="15">
        <f t="shared" si="5"/>
        <v>2.7537990000000003</v>
      </c>
      <c r="AC9" s="15">
        <v>33.579611427989846</v>
      </c>
      <c r="AD9" s="15">
        <v>78.034997444967189</v>
      </c>
      <c r="AE9" s="15">
        <f t="shared" si="6"/>
        <v>26.203848919861784</v>
      </c>
      <c r="AF9" s="95">
        <v>-2.8212264915265958E-2</v>
      </c>
      <c r="AG9" s="15">
        <f t="shared" si="7"/>
        <v>-0.73926992752674636</v>
      </c>
      <c r="AH9" s="95">
        <f t="shared" si="10"/>
        <v>3.0245735338084501E-2</v>
      </c>
      <c r="AI9" s="95">
        <f t="shared" si="11"/>
        <v>7.1893488418191875E-2</v>
      </c>
      <c r="AJ9" s="15">
        <f>AA6*(1+AH9)*(1+AI9)*(1+AH8)*(1+AI8)*(1+AH7)*(1+AI7)</f>
        <v>26.08891585022204</v>
      </c>
      <c r="AK9" s="2">
        <f t="shared" ref="AK9:AK48" si="15">AB9+AG9+AG8+AG7</f>
        <v>1.1165218349831751</v>
      </c>
      <c r="AL9" s="160">
        <f>AK9/AJ9*100</f>
        <v>4.2796789310571235</v>
      </c>
      <c r="AM9" s="153">
        <f>IF(AL9&lt;X9,1,0)</f>
        <v>1</v>
      </c>
      <c r="AN9" s="161">
        <f>IF(OR(W9=1,Y9=1,Z9=1,AM9=1),1,0)</f>
        <v>1</v>
      </c>
      <c r="AO9" s="145"/>
    </row>
    <row r="10" spans="1:41" x14ac:dyDescent="0.2">
      <c r="A10" s="147" t="s">
        <v>174</v>
      </c>
      <c r="B10" s="140"/>
      <c r="C10" s="157"/>
      <c r="D10" s="38"/>
      <c r="E10" s="153"/>
      <c r="F10" s="153"/>
      <c r="G10" s="15">
        <v>28.783000000000001</v>
      </c>
      <c r="H10" s="140"/>
      <c r="I10" s="15">
        <v>36.3682035</v>
      </c>
      <c r="J10" s="15">
        <v>80.580715605609015</v>
      </c>
      <c r="K10" s="15">
        <f t="shared" si="2"/>
        <v>29.305758633204146</v>
      </c>
      <c r="L10" s="95">
        <v>-9.4541847295254045E-3</v>
      </c>
      <c r="M10" s="15">
        <f t="shared" si="3"/>
        <v>-0.27706205575719595</v>
      </c>
      <c r="N10" s="95">
        <f t="shared" si="8"/>
        <v>3.2433886297266845E-2</v>
      </c>
      <c r="O10" s="95">
        <f t="shared" si="9"/>
        <v>7.9780914558049254E-2</v>
      </c>
      <c r="P10" s="15">
        <f t="shared" si="12"/>
        <v>28.33911887044702</v>
      </c>
      <c r="Q10" s="140"/>
      <c r="R10" s="140"/>
      <c r="S10" s="158"/>
      <c r="T10" s="154"/>
      <c r="U10" s="145"/>
      <c r="V10" s="15">
        <v>11.2</v>
      </c>
      <c r="W10" s="157">
        <f t="shared" si="0"/>
        <v>1</v>
      </c>
      <c r="X10" s="15">
        <f t="shared" si="13"/>
        <v>13.407329166666669</v>
      </c>
      <c r="Y10" s="153">
        <f t="shared" si="14"/>
        <v>1</v>
      </c>
      <c r="Z10" s="153">
        <f t="shared" si="4"/>
        <v>1</v>
      </c>
      <c r="AA10" s="15">
        <f t="shared" si="1"/>
        <v>28.783000000000001</v>
      </c>
      <c r="AB10" s="15">
        <f t="shared" si="5"/>
        <v>3.2236959999999999</v>
      </c>
      <c r="AC10" s="15">
        <v>36.368221719820745</v>
      </c>
      <c r="AD10" s="15">
        <v>80.611305375635908</v>
      </c>
      <c r="AE10" s="15">
        <f t="shared" si="6"/>
        <v>29.316898270253045</v>
      </c>
      <c r="AF10" s="95">
        <v>-9.6519788903190514E-3</v>
      </c>
      <c r="AG10" s="15">
        <f t="shared" si="7"/>
        <v>-0.28296608323411349</v>
      </c>
      <c r="AH10" s="95">
        <f t="shared" si="10"/>
        <v>3.2481493630361236E-2</v>
      </c>
      <c r="AI10" s="95">
        <f t="shared" si="11"/>
        <v>7.977628360361777E-2</v>
      </c>
      <c r="AJ10" s="15">
        <f t="shared" ref="AJ10:AJ48" si="16">AA7*(1+AH10)*(1+AI10)*(1+AH9)*(1+AI9)*(1+AH8)*(1+AI8)</f>
        <v>28.353189823405458</v>
      </c>
      <c r="AK10" s="2">
        <f t="shared" si="15"/>
        <v>1.5513854467372938</v>
      </c>
      <c r="AL10" s="160">
        <f t="shared" ref="AL10:AL47" si="17">AK10/AJ10*100</f>
        <v>5.4716434249547143</v>
      </c>
      <c r="AM10" s="153">
        <f t="shared" ref="AM10:AM48" si="18">IF(AL10&lt;X10,1,0)</f>
        <v>1</v>
      </c>
      <c r="AN10" s="161">
        <f t="shared" ref="AN10:AN47" si="19">IF(OR(W10=1,Y10=1,Z10=1,AM10=1),1,0)</f>
        <v>1</v>
      </c>
      <c r="AO10" s="145"/>
    </row>
    <row r="11" spans="1:41" x14ac:dyDescent="0.2">
      <c r="A11" s="147" t="s">
        <v>175</v>
      </c>
      <c r="B11" s="140"/>
      <c r="C11" s="157"/>
      <c r="D11" s="38"/>
      <c r="E11" s="153"/>
      <c r="F11" s="153"/>
      <c r="G11" s="15">
        <v>33.256999999999998</v>
      </c>
      <c r="H11" s="140"/>
      <c r="I11" s="15">
        <v>39.872492399999999</v>
      </c>
      <c r="J11" s="15">
        <v>83.393034450317074</v>
      </c>
      <c r="K11" s="15">
        <f t="shared" si="2"/>
        <v>33.250881323332052</v>
      </c>
      <c r="L11" s="95">
        <v>9.752782574176311E-5</v>
      </c>
      <c r="M11" s="15">
        <f t="shared" si="3"/>
        <v>3.242886159461974E-3</v>
      </c>
      <c r="N11" s="95">
        <f t="shared" si="8"/>
        <v>3.430542568744599E-2</v>
      </c>
      <c r="O11" s="95">
        <f t="shared" si="9"/>
        <v>9.1991809934129254E-2</v>
      </c>
      <c r="P11" s="15">
        <f t="shared" si="12"/>
        <v>31.184739284392577</v>
      </c>
      <c r="Q11" s="140"/>
      <c r="R11" s="140"/>
      <c r="S11" s="158"/>
      <c r="T11" s="154"/>
      <c r="U11" s="145"/>
      <c r="V11" s="15">
        <v>11.3</v>
      </c>
      <c r="W11" s="157">
        <f t="shared" si="0"/>
        <v>1</v>
      </c>
      <c r="X11" s="15">
        <f t="shared" si="13"/>
        <v>14.917591666666672</v>
      </c>
      <c r="Y11" s="153">
        <f t="shared" si="14"/>
        <v>1</v>
      </c>
      <c r="Z11" s="153">
        <f t="shared" si="4"/>
        <v>1</v>
      </c>
      <c r="AA11" s="15">
        <f t="shared" si="1"/>
        <v>33.256999999999998</v>
      </c>
      <c r="AB11" s="15">
        <f t="shared" si="5"/>
        <v>3.758041</v>
      </c>
      <c r="AC11" s="15">
        <v>39.872686496348955</v>
      </c>
      <c r="AD11" s="15">
        <v>83.424890834540363</v>
      </c>
      <c r="AE11" s="15">
        <f t="shared" si="6"/>
        <v>33.263745182377633</v>
      </c>
      <c r="AF11" s="95">
        <v>-1.0747276473366664E-4</v>
      </c>
      <c r="AG11" s="15">
        <f t="shared" si="7"/>
        <v>-3.5749466601463086E-3</v>
      </c>
      <c r="AH11" s="95">
        <f t="shared" si="10"/>
        <v>3.4307811207727745E-2</v>
      </c>
      <c r="AI11" s="95">
        <f t="shared" si="11"/>
        <v>9.1996176866421031E-2</v>
      </c>
      <c r="AJ11" s="15">
        <f t="shared" si="16"/>
        <v>31.193693258876753</v>
      </c>
      <c r="AK11" s="2">
        <f t="shared" si="15"/>
        <v>2.732230042578994</v>
      </c>
      <c r="AL11" s="160">
        <f t="shared" si="17"/>
        <v>8.7589180925265602</v>
      </c>
      <c r="AM11" s="153">
        <f t="shared" si="18"/>
        <v>1</v>
      </c>
      <c r="AN11" s="161">
        <f t="shared" si="19"/>
        <v>1</v>
      </c>
      <c r="AO11" s="145"/>
    </row>
    <row r="12" spans="1:41" x14ac:dyDescent="0.2">
      <c r="A12" s="147" t="s">
        <v>176</v>
      </c>
      <c r="B12" s="140"/>
      <c r="C12" s="157"/>
      <c r="D12" s="38"/>
      <c r="E12" s="153"/>
      <c r="F12" s="153"/>
      <c r="G12" s="15">
        <v>37.590000000000003</v>
      </c>
      <c r="H12" s="140"/>
      <c r="I12" s="15">
        <v>44.494980200000001</v>
      </c>
      <c r="J12" s="15">
        <v>85.659327331817863</v>
      </c>
      <c r="K12" s="15">
        <f t="shared" si="2"/>
        <v>38.114100735745545</v>
      </c>
      <c r="L12" s="95">
        <v>-7.2879428931912401E-3</v>
      </c>
      <c r="M12" s="15">
        <f t="shared" si="3"/>
        <v>-0.27777338958745174</v>
      </c>
      <c r="N12" s="95">
        <f t="shared" si="8"/>
        <v>2.681333329115354E-2</v>
      </c>
      <c r="O12" s="95">
        <f t="shared" si="9"/>
        <v>0.10968970570771486</v>
      </c>
      <c r="P12" s="15">
        <f t="shared" si="12"/>
        <v>35.593311636378345</v>
      </c>
      <c r="Q12" s="140"/>
      <c r="R12" s="140"/>
      <c r="S12" s="158"/>
      <c r="T12" s="154"/>
      <c r="U12" s="145"/>
      <c r="V12" s="15">
        <v>11.6</v>
      </c>
      <c r="W12" s="157">
        <f t="shared" si="0"/>
        <v>1</v>
      </c>
      <c r="X12" s="15">
        <f t="shared" si="13"/>
        <v>15.92245416666667</v>
      </c>
      <c r="Y12" s="153">
        <f t="shared" si="14"/>
        <v>1</v>
      </c>
      <c r="Z12" s="153">
        <f t="shared" si="4"/>
        <v>1</v>
      </c>
      <c r="AA12" s="15">
        <f t="shared" si="1"/>
        <v>37.590000000000003</v>
      </c>
      <c r="AB12" s="15">
        <f t="shared" si="5"/>
        <v>4.3604400000000005</v>
      </c>
      <c r="AC12" s="15">
        <v>44.495005145907385</v>
      </c>
      <c r="AD12" s="15">
        <v>85.710793097979774</v>
      </c>
      <c r="AE12" s="15">
        <f t="shared" si="6"/>
        <v>38.137021799544129</v>
      </c>
      <c r="AF12" s="95">
        <v>-7.6021026309362619E-3</v>
      </c>
      <c r="AG12" s="15">
        <f t="shared" si="7"/>
        <v>-0.28992155375838802</v>
      </c>
      <c r="AH12" s="95">
        <f t="shared" si="10"/>
        <v>2.7032042049940586E-2</v>
      </c>
      <c r="AI12" s="95">
        <f t="shared" si="11"/>
        <v>0.10968539843867431</v>
      </c>
      <c r="AJ12" s="15">
        <f t="shared" si="16"/>
        <v>35.602468150994511</v>
      </c>
      <c r="AK12" s="2">
        <f t="shared" si="15"/>
        <v>3.7839774163473527</v>
      </c>
      <c r="AL12" s="160">
        <f t="shared" si="17"/>
        <v>10.628413177139945</v>
      </c>
      <c r="AM12" s="153">
        <f t="shared" si="18"/>
        <v>1</v>
      </c>
      <c r="AN12" s="161">
        <f t="shared" si="19"/>
        <v>1</v>
      </c>
      <c r="AO12" s="145"/>
    </row>
    <row r="13" spans="1:41" x14ac:dyDescent="0.2">
      <c r="A13" s="147" t="s">
        <v>177</v>
      </c>
      <c r="B13" s="140"/>
      <c r="C13" s="157"/>
      <c r="D13" s="38"/>
      <c r="E13" s="153"/>
      <c r="F13" s="153"/>
      <c r="G13" s="15">
        <v>42.3</v>
      </c>
      <c r="H13" s="140"/>
      <c r="I13" s="15">
        <v>48.588615599999997</v>
      </c>
      <c r="J13" s="15">
        <v>88.255623238119725</v>
      </c>
      <c r="K13" s="15">
        <f t="shared" si="2"/>
        <v>42.882185520554266</v>
      </c>
      <c r="L13" s="95">
        <v>-7.1954895665975634E-3</v>
      </c>
      <c r="M13" s="15">
        <f t="shared" si="3"/>
        <v>-0.30855831850604931</v>
      </c>
      <c r="N13" s="95">
        <f t="shared" si="8"/>
        <v>2.9859293808018883E-2</v>
      </c>
      <c r="O13" s="95">
        <f t="shared" si="9"/>
        <v>8.8012878237867298E-2</v>
      </c>
      <c r="P13" s="15">
        <f t="shared" si="12"/>
        <v>41.505841835506054</v>
      </c>
      <c r="Q13" s="140"/>
      <c r="R13" s="140"/>
      <c r="S13" s="158"/>
      <c r="T13" s="154"/>
      <c r="U13" s="145"/>
      <c r="V13" s="15">
        <v>14</v>
      </c>
      <c r="W13" s="157">
        <f t="shared" si="0"/>
        <v>1</v>
      </c>
      <c r="X13" s="15">
        <f t="shared" si="13"/>
        <v>16.076116666666664</v>
      </c>
      <c r="Y13" s="153">
        <f t="shared" si="14"/>
        <v>1</v>
      </c>
      <c r="Z13" s="153">
        <f t="shared" si="4"/>
        <v>1</v>
      </c>
      <c r="AA13" s="15">
        <f t="shared" si="1"/>
        <v>42.3</v>
      </c>
      <c r="AB13" s="15">
        <f t="shared" si="5"/>
        <v>5.9220000000000006</v>
      </c>
      <c r="AC13" s="15">
        <v>48.588875962962355</v>
      </c>
      <c r="AD13" s="15">
        <v>88.309776095260517</v>
      </c>
      <c r="AE13" s="15">
        <f t="shared" si="6"/>
        <v>42.90872757009592</v>
      </c>
      <c r="AF13" s="95">
        <v>-7.5188808995511457E-3</v>
      </c>
      <c r="AG13" s="15">
        <f t="shared" si="7"/>
        <v>-0.32262561215083785</v>
      </c>
      <c r="AH13" s="95">
        <f t="shared" si="10"/>
        <v>2.987205789671421E-2</v>
      </c>
      <c r="AI13" s="95">
        <f t="shared" si="11"/>
        <v>8.8017676096051822E-2</v>
      </c>
      <c r="AJ13" s="15">
        <f t="shared" si="16"/>
        <v>41.515480714671618</v>
      </c>
      <c r="AK13" s="2">
        <f t="shared" si="15"/>
        <v>5.3058778874306283</v>
      </c>
      <c r="AL13" s="160">
        <f t="shared" si="17"/>
        <v>12.78048042824547</v>
      </c>
      <c r="AM13" s="153">
        <f t="shared" si="18"/>
        <v>1</v>
      </c>
      <c r="AN13" s="161">
        <f t="shared" si="19"/>
        <v>1</v>
      </c>
      <c r="AO13" s="145"/>
    </row>
    <row r="14" spans="1:41" x14ac:dyDescent="0.2">
      <c r="A14" s="147" t="s">
        <v>178</v>
      </c>
      <c r="B14" s="140"/>
      <c r="C14" s="157"/>
      <c r="D14" s="38"/>
      <c r="E14" s="153"/>
      <c r="F14" s="153"/>
      <c r="G14" s="15">
        <v>47.106999999999999</v>
      </c>
      <c r="H14" s="140"/>
      <c r="I14" s="15">
        <v>52.522084700000001</v>
      </c>
      <c r="J14" s="15">
        <v>91.064759744787509</v>
      </c>
      <c r="K14" s="15">
        <f t="shared" si="2"/>
        <v>47.829110245008799</v>
      </c>
      <c r="L14" s="95">
        <v>-8.0017886916907612E-3</v>
      </c>
      <c r="M14" s="15">
        <f t="shared" si="3"/>
        <v>-0.38271843349214213</v>
      </c>
      <c r="N14" s="95">
        <f t="shared" si="8"/>
        <v>3.1333485768812785E-2</v>
      </c>
      <c r="O14" s="95">
        <f t="shared" si="9"/>
        <v>7.7844485544171338E-2</v>
      </c>
      <c r="P14" s="15">
        <f t="shared" si="12"/>
        <v>47.200139098892869</v>
      </c>
      <c r="Q14" s="140"/>
      <c r="R14" s="140"/>
      <c r="S14" s="158"/>
      <c r="T14" s="154"/>
      <c r="U14" s="145"/>
      <c r="V14" s="15">
        <v>15.5</v>
      </c>
      <c r="W14" s="157">
        <f t="shared" si="0"/>
        <v>1</v>
      </c>
      <c r="X14" s="15">
        <f t="shared" si="13"/>
        <v>16.95494583333334</v>
      </c>
      <c r="Y14" s="153">
        <f t="shared" si="14"/>
        <v>1</v>
      </c>
      <c r="Z14" s="153">
        <f t="shared" si="4"/>
        <v>1</v>
      </c>
      <c r="AA14" s="15">
        <f t="shared" si="1"/>
        <v>47.106999999999999</v>
      </c>
      <c r="AB14" s="15">
        <f t="shared" si="5"/>
        <v>7.3015850000000002</v>
      </c>
      <c r="AC14" s="15">
        <v>52.522458399325458</v>
      </c>
      <c r="AD14" s="15">
        <v>91.094091105083692</v>
      </c>
      <c r="AE14" s="15">
        <f t="shared" si="6"/>
        <v>47.844856104911216</v>
      </c>
      <c r="AF14" s="95">
        <v>-8.1735795117754036E-3</v>
      </c>
      <c r="AG14" s="15">
        <f t="shared" si="7"/>
        <v>-0.39106373560294466</v>
      </c>
      <c r="AH14" s="95">
        <f t="shared" si="10"/>
        <v>3.1042124490537226E-2</v>
      </c>
      <c r="AI14" s="95">
        <f t="shared" si="11"/>
        <v>7.7846242104749219E-2</v>
      </c>
      <c r="AJ14" s="15">
        <f t="shared" si="16"/>
        <v>47.197542103636316</v>
      </c>
      <c r="AK14" s="2">
        <f t="shared" si="15"/>
        <v>6.2979740984878294</v>
      </c>
      <c r="AL14" s="160">
        <f t="shared" si="17"/>
        <v>13.343860332088362</v>
      </c>
      <c r="AM14" s="153">
        <f t="shared" si="18"/>
        <v>1</v>
      </c>
      <c r="AN14" s="161">
        <f t="shared" si="19"/>
        <v>1</v>
      </c>
      <c r="AO14" s="145"/>
    </row>
    <row r="15" spans="1:41" x14ac:dyDescent="0.2">
      <c r="A15" s="147" t="s">
        <v>179</v>
      </c>
      <c r="B15" s="140"/>
      <c r="C15" s="157"/>
      <c r="D15" s="38"/>
      <c r="E15" s="153"/>
      <c r="F15" s="153"/>
      <c r="G15" s="15">
        <v>52.680999999999997</v>
      </c>
      <c r="H15" s="140"/>
      <c r="I15" s="15">
        <v>56.966510900000003</v>
      </c>
      <c r="J15" s="15">
        <v>93.836082742202422</v>
      </c>
      <c r="K15" s="15">
        <f t="shared" si="2"/>
        <v>53.455142303469763</v>
      </c>
      <c r="L15" s="95">
        <v>-7.6755085284837378E-3</v>
      </c>
      <c r="M15" s="15">
        <f t="shared" si="3"/>
        <v>-0.41029540064159403</v>
      </c>
      <c r="N15" s="95">
        <f t="shared" si="8"/>
        <v>2.9978560500644846E-2</v>
      </c>
      <c r="O15" s="95">
        <f t="shared" si="9"/>
        <v>8.1229825005180167E-2</v>
      </c>
      <c r="P15" s="15">
        <f t="shared" si="12"/>
        <v>52.14175910122173</v>
      </c>
      <c r="Q15" s="140"/>
      <c r="R15" s="140"/>
      <c r="S15" s="158"/>
      <c r="T15" s="154"/>
      <c r="U15" s="145"/>
      <c r="V15" s="15">
        <v>15.3</v>
      </c>
      <c r="W15" s="157">
        <f t="shared" si="0"/>
        <v>1</v>
      </c>
      <c r="X15" s="15">
        <f t="shared" si="13"/>
        <v>18.237683333333337</v>
      </c>
      <c r="Y15" s="153">
        <f t="shared" si="14"/>
        <v>1</v>
      </c>
      <c r="Z15" s="153">
        <f t="shared" si="4"/>
        <v>1</v>
      </c>
      <c r="AA15" s="15">
        <f t="shared" si="1"/>
        <v>52.680999999999997</v>
      </c>
      <c r="AB15" s="15">
        <f t="shared" si="5"/>
        <v>8.0601929999999999</v>
      </c>
      <c r="AC15" s="15">
        <v>56.966823560929484</v>
      </c>
      <c r="AD15" s="15">
        <v>93.824421784331165</v>
      </c>
      <c r="AE15" s="15">
        <f t="shared" si="6"/>
        <v>53.448792814942216</v>
      </c>
      <c r="AF15" s="95">
        <v>-7.6134589854687474E-3</v>
      </c>
      <c r="AG15" s="15">
        <f t="shared" si="7"/>
        <v>-0.40693019191937924</v>
      </c>
      <c r="AH15" s="95">
        <f t="shared" si="10"/>
        <v>2.9532241770797718E-2</v>
      </c>
      <c r="AI15" s="95">
        <f t="shared" si="11"/>
        <v>8.1228198430195686E-2</v>
      </c>
      <c r="AJ15" s="15">
        <f t="shared" si="16"/>
        <v>52.10532254337074</v>
      </c>
      <c r="AK15" s="2">
        <f t="shared" si="15"/>
        <v>6.9395734603268382</v>
      </c>
      <c r="AL15" s="160">
        <f t="shared" si="17"/>
        <v>13.31835812848211</v>
      </c>
      <c r="AM15" s="153">
        <f t="shared" si="18"/>
        <v>1</v>
      </c>
      <c r="AN15" s="161">
        <f t="shared" si="19"/>
        <v>1</v>
      </c>
      <c r="AO15" s="145"/>
    </row>
    <row r="16" spans="1:41" x14ac:dyDescent="0.2">
      <c r="A16" s="147" t="s">
        <v>180</v>
      </c>
      <c r="B16" s="140"/>
      <c r="C16" s="157"/>
      <c r="D16" s="38"/>
      <c r="E16" s="153"/>
      <c r="F16" s="153"/>
      <c r="G16" s="15">
        <v>57.311</v>
      </c>
      <c r="H16" s="140"/>
      <c r="I16" s="15">
        <v>59.991987899999998</v>
      </c>
      <c r="J16" s="15">
        <v>96.591456906227648</v>
      </c>
      <c r="K16" s="15">
        <f t="shared" si="2"/>
        <v>57.947135139617806</v>
      </c>
      <c r="L16" s="95">
        <v>-5.818262590720033E-3</v>
      </c>
      <c r="M16" s="15">
        <f t="shared" si="3"/>
        <v>-0.33715164862223657</v>
      </c>
      <c r="N16" s="95">
        <f t="shared" si="8"/>
        <v>2.8940840018897518E-2</v>
      </c>
      <c r="O16" s="95">
        <f t="shared" si="9"/>
        <v>5.1747451203382866E-2</v>
      </c>
      <c r="P16" s="15">
        <f t="shared" si="12"/>
        <v>56.668754233502611</v>
      </c>
      <c r="Q16" s="140"/>
      <c r="R16" s="140"/>
      <c r="S16" s="158"/>
      <c r="T16" s="154"/>
      <c r="U16" s="145"/>
      <c r="V16" s="15">
        <v>16</v>
      </c>
      <c r="W16" s="157">
        <f t="shared" si="0"/>
        <v>1</v>
      </c>
      <c r="X16" s="15">
        <f t="shared" si="13"/>
        <v>19.311499999999999</v>
      </c>
      <c r="Y16" s="153">
        <f t="shared" si="14"/>
        <v>1</v>
      </c>
      <c r="Z16" s="153">
        <f t="shared" si="4"/>
        <v>1</v>
      </c>
      <c r="AA16" s="15">
        <f t="shared" si="1"/>
        <v>57.311</v>
      </c>
      <c r="AB16" s="15">
        <f t="shared" si="5"/>
        <v>9.1697600000000001</v>
      </c>
      <c r="AC16" s="15">
        <v>59.99201651739201</v>
      </c>
      <c r="AD16" s="15">
        <v>96.538594238027855</v>
      </c>
      <c r="AE16" s="15">
        <f t="shared" si="6"/>
        <v>57.915449400935721</v>
      </c>
      <c r="AF16" s="95">
        <v>-5.5314805601897896E-3</v>
      </c>
      <c r="AG16" s="15">
        <f t="shared" si="7"/>
        <v>-0.32035818249593134</v>
      </c>
      <c r="AH16" s="95">
        <f t="shared" si="10"/>
        <v>2.8517686382127039E-2</v>
      </c>
      <c r="AI16" s="95">
        <f t="shared" si="11"/>
        <v>5.1742439734448809E-2</v>
      </c>
      <c r="AJ16" s="15">
        <f t="shared" si="16"/>
        <v>56.604644491406972</v>
      </c>
      <c r="AK16" s="2">
        <f t="shared" si="15"/>
        <v>8.0514078899817445</v>
      </c>
      <c r="AL16" s="160">
        <f t="shared" si="17"/>
        <v>14.223935089291146</v>
      </c>
      <c r="AM16" s="153">
        <f>IF(AL16&lt;X16,1,0)</f>
        <v>1</v>
      </c>
      <c r="AN16" s="161">
        <f t="shared" si="19"/>
        <v>1</v>
      </c>
      <c r="AO16" s="145"/>
    </row>
    <row r="17" spans="1:41" x14ac:dyDescent="0.2">
      <c r="A17" s="147" t="s">
        <v>181</v>
      </c>
      <c r="B17" s="140"/>
      <c r="C17" s="157"/>
      <c r="D17" s="38"/>
      <c r="E17" s="153"/>
      <c r="F17" s="153"/>
      <c r="G17" s="15">
        <v>61.66</v>
      </c>
      <c r="H17" s="140"/>
      <c r="I17" s="15">
        <v>62.883210499999997</v>
      </c>
      <c r="J17" s="15">
        <v>99.145693713596813</v>
      </c>
      <c r="K17" s="15">
        <f t="shared" si="2"/>
        <v>62.345995279606349</v>
      </c>
      <c r="L17" s="95">
        <v>-5.831609488522055E-3</v>
      </c>
      <c r="M17" s="15">
        <f t="shared" si="3"/>
        <v>-0.36357749764390362</v>
      </c>
      <c r="N17" s="95">
        <f t="shared" si="8"/>
        <v>2.6100122502379364E-2</v>
      </c>
      <c r="O17" s="95">
        <f t="shared" si="9"/>
        <v>4.70681860820239E-2</v>
      </c>
      <c r="P17" s="15">
        <f t="shared" si="12"/>
        <v>60.995560442432229</v>
      </c>
      <c r="Q17" s="140"/>
      <c r="R17" s="140"/>
      <c r="S17" s="158"/>
      <c r="T17" s="154"/>
      <c r="U17" s="145"/>
      <c r="V17" s="15">
        <v>16.7</v>
      </c>
      <c r="W17" s="157">
        <f t="shared" si="0"/>
        <v>1</v>
      </c>
      <c r="X17" s="15">
        <f t="shared" si="13"/>
        <v>19.901687500000001</v>
      </c>
      <c r="Y17" s="153">
        <f t="shared" si="14"/>
        <v>1</v>
      </c>
      <c r="Z17" s="153">
        <f t="shared" si="4"/>
        <v>1</v>
      </c>
      <c r="AA17" s="15">
        <f t="shared" si="1"/>
        <v>61.66</v>
      </c>
      <c r="AB17" s="15">
        <f t="shared" si="5"/>
        <v>10.297219999999998</v>
      </c>
      <c r="AC17" s="15">
        <v>62.88326257233058</v>
      </c>
      <c r="AD17" s="15">
        <v>99.057860504941416</v>
      </c>
      <c r="AE17" s="15">
        <f t="shared" si="6"/>
        <v>62.29081451985526</v>
      </c>
      <c r="AF17" s="95">
        <v>-5.3672712116602708E-3</v>
      </c>
      <c r="AG17" s="15">
        <f t="shared" si="7"/>
        <v>-0.33433169552328873</v>
      </c>
      <c r="AH17" s="95">
        <f t="shared" si="10"/>
        <v>2.5761260274750342E-2</v>
      </c>
      <c r="AI17" s="95">
        <f t="shared" si="11"/>
        <v>4.7068537141588429E-2</v>
      </c>
      <c r="AJ17" s="15">
        <f t="shared" si="16"/>
        <v>60.923567830917086</v>
      </c>
      <c r="AK17" s="2">
        <f t="shared" si="15"/>
        <v>9.2355999300613973</v>
      </c>
      <c r="AL17" s="160">
        <f t="shared" si="17"/>
        <v>15.159322178394444</v>
      </c>
      <c r="AM17" s="153">
        <f t="shared" si="18"/>
        <v>1</v>
      </c>
      <c r="AN17" s="161">
        <f t="shared" si="19"/>
        <v>1</v>
      </c>
      <c r="AO17" s="145"/>
    </row>
    <row r="18" spans="1:41" x14ac:dyDescent="0.2">
      <c r="A18" s="147" t="s">
        <v>182</v>
      </c>
      <c r="B18" s="140"/>
      <c r="C18" s="157"/>
      <c r="D18" s="38"/>
      <c r="E18" s="153"/>
      <c r="F18" s="153"/>
      <c r="G18" s="15">
        <v>66.570999999999998</v>
      </c>
      <c r="H18" s="140"/>
      <c r="I18" s="15">
        <v>65.602135200000006</v>
      </c>
      <c r="J18" s="15">
        <v>101.56563276536761</v>
      </c>
      <c r="K18" s="15">
        <f t="shared" si="2"/>
        <v>66.629223723471966</v>
      </c>
      <c r="L18" s="95">
        <v>-4.6313860667322125E-4</v>
      </c>
      <c r="M18" s="15">
        <f t="shared" si="3"/>
        <v>-3.0858565839007146E-2</v>
      </c>
      <c r="N18" s="95">
        <f t="shared" si="8"/>
        <v>2.4114795751844831E-2</v>
      </c>
      <c r="O18" s="95">
        <f t="shared" si="9"/>
        <v>4.2329039813298941E-2</v>
      </c>
      <c r="P18" s="15">
        <f t="shared" si="12"/>
        <v>65.384388387148178</v>
      </c>
      <c r="Q18" s="140"/>
      <c r="R18" s="140"/>
      <c r="S18" s="158"/>
      <c r="T18" s="154"/>
      <c r="U18" s="145"/>
      <c r="V18" s="15">
        <v>17.899999999999999</v>
      </c>
      <c r="W18" s="157">
        <f t="shared" si="0"/>
        <v>1</v>
      </c>
      <c r="X18" s="15">
        <f t="shared" si="13"/>
        <v>20.276779166666671</v>
      </c>
      <c r="Y18" s="153">
        <f t="shared" si="14"/>
        <v>1</v>
      </c>
      <c r="Z18" s="153">
        <f t="shared" si="4"/>
        <v>1</v>
      </c>
      <c r="AA18" s="15">
        <f t="shared" si="1"/>
        <v>66.570999999999998</v>
      </c>
      <c r="AB18" s="15">
        <f t="shared" si="5"/>
        <v>11.916208999999998</v>
      </c>
      <c r="AC18" s="15">
        <v>65.602101164128541</v>
      </c>
      <c r="AD18" s="15">
        <v>101.44543747579684</v>
      </c>
      <c r="AE18" s="15">
        <f t="shared" si="6"/>
        <v>66.550338519265011</v>
      </c>
      <c r="AF18" s="95">
        <v>1.6454589162421404E-4</v>
      </c>
      <c r="AG18" s="15">
        <f t="shared" si="7"/>
        <v>1.0950584789545737E-2</v>
      </c>
      <c r="AH18" s="95">
        <f t="shared" si="10"/>
        <v>2.3816963173545425E-2</v>
      </c>
      <c r="AI18" s="95">
        <f t="shared" si="11"/>
        <v>4.2327692910864023E-2</v>
      </c>
      <c r="AJ18" s="15">
        <f t="shared" si="16"/>
        <v>65.316540410334014</v>
      </c>
      <c r="AK18" s="2">
        <f t="shared" si="15"/>
        <v>11.272469706770323</v>
      </c>
      <c r="AL18" s="160">
        <f t="shared" si="17"/>
        <v>17.258216120991701</v>
      </c>
      <c r="AM18" s="153">
        <f t="shared" si="18"/>
        <v>1</v>
      </c>
      <c r="AN18" s="161">
        <f t="shared" si="19"/>
        <v>1</v>
      </c>
      <c r="AO18" s="145"/>
    </row>
    <row r="19" spans="1:41" x14ac:dyDescent="0.2">
      <c r="A19" s="147" t="s">
        <v>183</v>
      </c>
      <c r="B19" s="140"/>
      <c r="C19" s="157"/>
      <c r="D19" s="38"/>
      <c r="E19" s="153"/>
      <c r="F19" s="153"/>
      <c r="G19" s="15">
        <v>75.403000000000006</v>
      </c>
      <c r="H19" s="140"/>
      <c r="I19" s="15">
        <v>70.618411899999998</v>
      </c>
      <c r="J19" s="15">
        <v>103.82742327859607</v>
      </c>
      <c r="K19" s="15">
        <f t="shared" si="2"/>
        <v>73.321277436035459</v>
      </c>
      <c r="L19" s="95">
        <v>1.5047650351024015E-2</v>
      </c>
      <c r="M19" s="15">
        <f t="shared" si="3"/>
        <v>1.1033129461478881</v>
      </c>
      <c r="N19" s="95">
        <f t="shared" si="8"/>
        <v>2.2024911536151492E-2</v>
      </c>
      <c r="O19" s="95">
        <f t="shared" si="9"/>
        <v>7.3682658082801389E-2</v>
      </c>
      <c r="P19" s="15">
        <f t="shared" si="12"/>
        <v>72.126289140831744</v>
      </c>
      <c r="Q19" s="140"/>
      <c r="R19" s="140"/>
      <c r="S19" s="158"/>
      <c r="T19" s="154"/>
      <c r="U19" s="145"/>
      <c r="V19" s="15">
        <v>16.8</v>
      </c>
      <c r="W19" s="157">
        <f t="shared" si="0"/>
        <v>1</v>
      </c>
      <c r="X19" s="15">
        <f t="shared" si="13"/>
        <v>21.067416666666674</v>
      </c>
      <c r="Y19" s="153">
        <f t="shared" si="14"/>
        <v>1</v>
      </c>
      <c r="Z19" s="153">
        <f t="shared" si="4"/>
        <v>1</v>
      </c>
      <c r="AA19" s="15">
        <f t="shared" si="1"/>
        <v>75.403000000000006</v>
      </c>
      <c r="AB19" s="15">
        <f t="shared" si="5"/>
        <v>12.667704000000002</v>
      </c>
      <c r="AC19" s="15">
        <v>70.61823200894581</v>
      </c>
      <c r="AD19" s="15">
        <v>103.69347706490444</v>
      </c>
      <c r="AE19" s="15">
        <f t="shared" si="6"/>
        <v>73.226500211837234</v>
      </c>
      <c r="AF19" s="95">
        <v>1.5753106926989231E-2</v>
      </c>
      <c r="AG19" s="15">
        <f t="shared" si="7"/>
        <v>1.1535448877262715</v>
      </c>
      <c r="AH19" s="95">
        <f t="shared" si="10"/>
        <v>2.1918119150411641E-2</v>
      </c>
      <c r="AI19" s="95">
        <f t="shared" si="11"/>
        <v>7.3680629534711883E-2</v>
      </c>
      <c r="AJ19" s="15">
        <f t="shared" si="16"/>
        <v>72.073764135446822</v>
      </c>
      <c r="AK19" s="2">
        <f t="shared" si="15"/>
        <v>13.49786777699253</v>
      </c>
      <c r="AL19" s="160">
        <f t="shared" si="17"/>
        <v>18.72785185969509</v>
      </c>
      <c r="AM19" s="153">
        <f t="shared" si="18"/>
        <v>1</v>
      </c>
      <c r="AN19" s="161">
        <f t="shared" si="19"/>
        <v>1</v>
      </c>
      <c r="AO19" s="145"/>
    </row>
    <row r="20" spans="1:41" x14ac:dyDescent="0.2">
      <c r="A20" s="147" t="s">
        <v>184</v>
      </c>
      <c r="B20" s="140"/>
      <c r="C20" s="157"/>
      <c r="D20" s="38"/>
      <c r="E20" s="153"/>
      <c r="F20" s="153"/>
      <c r="G20" s="15">
        <v>84.290999999999997</v>
      </c>
      <c r="H20" s="140"/>
      <c r="I20" s="15">
        <v>75.127623600000007</v>
      </c>
      <c r="J20" s="15">
        <v>105.98870475835427</v>
      </c>
      <c r="K20" s="15">
        <f t="shared" si="2"/>
        <v>79.626795169371704</v>
      </c>
      <c r="L20" s="95">
        <v>3.1045184348409301E-2</v>
      </c>
      <c r="M20" s="15">
        <f t="shared" si="3"/>
        <v>2.4720285351061717</v>
      </c>
      <c r="N20" s="95">
        <f t="shared" si="8"/>
        <v>2.0602400276553468E-2</v>
      </c>
      <c r="O20" s="95">
        <f t="shared" si="9"/>
        <v>6.1897413090060027E-2</v>
      </c>
      <c r="P20" s="15">
        <f t="shared" si="12"/>
        <v>78.276890817299332</v>
      </c>
      <c r="Q20" s="140"/>
      <c r="R20" s="140"/>
      <c r="S20" s="158"/>
      <c r="T20" s="154"/>
      <c r="U20" s="145"/>
      <c r="V20" s="15">
        <v>14.5</v>
      </c>
      <c r="W20" s="157">
        <f t="shared" si="0"/>
        <v>1</v>
      </c>
      <c r="X20" s="15">
        <f t="shared" si="13"/>
        <v>21.280137500000002</v>
      </c>
      <c r="Y20" s="153">
        <f t="shared" si="14"/>
        <v>1</v>
      </c>
      <c r="Z20" s="153">
        <f t="shared" si="4"/>
        <v>0</v>
      </c>
      <c r="AA20" s="15">
        <f t="shared" si="1"/>
        <v>84.290999999999997</v>
      </c>
      <c r="AB20" s="15">
        <f t="shared" si="5"/>
        <v>12.222194999999999</v>
      </c>
      <c r="AC20" s="15">
        <v>75.127243437415828</v>
      </c>
      <c r="AD20" s="15">
        <v>105.86624103031828</v>
      </c>
      <c r="AE20" s="15">
        <f t="shared" si="6"/>
        <v>79.534388616888606</v>
      </c>
      <c r="AF20" s="95">
        <v>3.1697031647436577E-2</v>
      </c>
      <c r="AG20" s="15">
        <f t="shared" si="7"/>
        <v>2.5210040330490378</v>
      </c>
      <c r="AH20" s="95">
        <f t="shared" si="10"/>
        <v>2.0737208923023331E-2</v>
      </c>
      <c r="AI20" s="95">
        <f t="shared" si="11"/>
        <v>6.1894900224362281E-2</v>
      </c>
      <c r="AJ20" s="15">
        <f t="shared" si="16"/>
        <v>78.255850657364476</v>
      </c>
      <c r="AK20" s="2">
        <f t="shared" si="15"/>
        <v>15.907694505564855</v>
      </c>
      <c r="AL20" s="160">
        <f t="shared" si="17"/>
        <v>20.327802166786388</v>
      </c>
      <c r="AM20" s="153">
        <f t="shared" si="18"/>
        <v>1</v>
      </c>
      <c r="AN20" s="161">
        <f t="shared" si="19"/>
        <v>1</v>
      </c>
      <c r="AO20" s="145"/>
    </row>
    <row r="21" spans="1:41" x14ac:dyDescent="0.2">
      <c r="A21" s="147" t="s">
        <v>185</v>
      </c>
      <c r="B21" s="15">
        <v>14.0479</v>
      </c>
      <c r="C21" s="157">
        <f t="shared" ref="C21:C46" si="20">IF(B21&lt;60,1,0)</f>
        <v>1</v>
      </c>
      <c r="D21" s="38"/>
      <c r="E21" s="153"/>
      <c r="F21" s="153"/>
      <c r="G21" s="15">
        <v>89.316000000000003</v>
      </c>
      <c r="H21" s="15">
        <f t="shared" ref="H21:H46" si="21">G21*B21/100</f>
        <v>12.547022364</v>
      </c>
      <c r="I21" s="15">
        <v>79.206171800000007</v>
      </c>
      <c r="J21" s="15">
        <v>107.36635596788427</v>
      </c>
      <c r="K21" s="15">
        <f t="shared" si="2"/>
        <v>85.040780363321971</v>
      </c>
      <c r="L21" s="95">
        <v>2.6644468942180023E-2</v>
      </c>
      <c r="M21" s="15">
        <f t="shared" si="3"/>
        <v>2.2658664312092851</v>
      </c>
      <c r="N21" s="95">
        <f t="shared" si="8"/>
        <v>1.2914344303586844E-2</v>
      </c>
      <c r="O21" s="95">
        <f t="shared" si="9"/>
        <v>5.286590717823092E-2</v>
      </c>
      <c r="P21" s="15">
        <f t="shared" si="12"/>
        <v>84.432069369998786</v>
      </c>
      <c r="Q21" s="15">
        <f t="shared" ref="Q21:Q46" si="22">H21+M21+M20+M19</f>
        <v>18.388230276463347</v>
      </c>
      <c r="R21" s="15">
        <f>Q21/P21*100</f>
        <v>21.778727459447097</v>
      </c>
      <c r="S21" s="158"/>
      <c r="T21" s="154"/>
      <c r="U21" s="145"/>
      <c r="V21" s="15">
        <v>14.0479</v>
      </c>
      <c r="W21" s="157">
        <f t="shared" si="0"/>
        <v>1</v>
      </c>
      <c r="X21" s="15">
        <f t="shared" si="13"/>
        <v>20.563837500000002</v>
      </c>
      <c r="Y21" s="153">
        <f t="shared" si="14"/>
        <v>1</v>
      </c>
      <c r="Z21" s="153">
        <f t="shared" si="4"/>
        <v>0</v>
      </c>
      <c r="AA21" s="15">
        <f t="shared" si="1"/>
        <v>89.316000000000003</v>
      </c>
      <c r="AB21" s="15">
        <f t="shared" si="5"/>
        <v>12.547022364</v>
      </c>
      <c r="AC21" s="15">
        <v>79.205646820779279</v>
      </c>
      <c r="AD21" s="15">
        <v>107.2742237469152</v>
      </c>
      <c r="AE21" s="15">
        <f t="shared" si="6"/>
        <v>84.967242790714195</v>
      </c>
      <c r="AF21" s="95">
        <v>2.7126234125292456E-2</v>
      </c>
      <c r="AG21" s="15">
        <f t="shared" si="7"/>
        <v>2.3048413209214806</v>
      </c>
      <c r="AH21" s="95">
        <f t="shared" si="10"/>
        <v>1.3211974544830696E-2</v>
      </c>
      <c r="AI21" s="95">
        <f t="shared" si="11"/>
        <v>5.2864339383789982E-2</v>
      </c>
      <c r="AJ21" s="15">
        <f t="shared" si="16"/>
        <v>84.458722848681958</v>
      </c>
      <c r="AK21" s="2">
        <f t="shared" si="15"/>
        <v>18.526412605696791</v>
      </c>
      <c r="AL21" s="160">
        <f t="shared" si="17"/>
        <v>21.935463834669992</v>
      </c>
      <c r="AM21" s="153">
        <f t="shared" si="18"/>
        <v>0</v>
      </c>
      <c r="AN21" s="161">
        <f t="shared" si="19"/>
        <v>1</v>
      </c>
      <c r="AO21" s="145"/>
    </row>
    <row r="22" spans="1:41" x14ac:dyDescent="0.2">
      <c r="A22" s="147" t="s">
        <v>186</v>
      </c>
      <c r="B22" s="15">
        <v>22.2913</v>
      </c>
      <c r="C22" s="157">
        <f t="shared" si="20"/>
        <v>1</v>
      </c>
      <c r="D22" s="38"/>
      <c r="E22" s="153"/>
      <c r="F22" s="153">
        <f t="shared" ref="F22:F44" si="23">IF(B24&lt;D24,1,0)</f>
        <v>0</v>
      </c>
      <c r="G22" s="15">
        <v>85.216999999999999</v>
      </c>
      <c r="H22" s="15">
        <f t="shared" si="21"/>
        <v>18.995977120999999</v>
      </c>
      <c r="I22" s="15">
        <v>80.394768999999997</v>
      </c>
      <c r="J22" s="15">
        <v>107.66453852582327</v>
      </c>
      <c r="K22" s="15">
        <f t="shared" si="2"/>
        <v>86.556657042751624</v>
      </c>
      <c r="L22" s="95">
        <v>-8.2029304242502502E-3</v>
      </c>
      <c r="M22" s="15">
        <f t="shared" si="3"/>
        <v>-0.71001823547738196</v>
      </c>
      <c r="N22" s="95">
        <f t="shared" si="8"/>
        <v>2.7733944907684105E-3</v>
      </c>
      <c r="O22" s="95">
        <f t="shared" si="9"/>
        <v>1.4894889327305982E-2</v>
      </c>
      <c r="P22" s="15">
        <f t="shared" si="12"/>
        <v>88.694650371396236</v>
      </c>
      <c r="Q22" s="15">
        <f t="shared" si="22"/>
        <v>23.023853851838076</v>
      </c>
      <c r="R22" s="15">
        <f t="shared" ref="R22:R45" si="24">Q22/P22*100</f>
        <v>25.958559795240145</v>
      </c>
      <c r="S22" s="158"/>
      <c r="T22" s="154"/>
      <c r="U22" s="145"/>
      <c r="V22" s="15">
        <v>22.2913</v>
      </c>
      <c r="W22" s="157">
        <f t="shared" si="0"/>
        <v>1</v>
      </c>
      <c r="X22" s="15">
        <f t="shared" si="13"/>
        <v>19.414385000000003</v>
      </c>
      <c r="Y22" s="153">
        <f t="shared" si="14"/>
        <v>0</v>
      </c>
      <c r="Z22" s="153">
        <f t="shared" si="4"/>
        <v>0</v>
      </c>
      <c r="AA22" s="15">
        <f t="shared" si="1"/>
        <v>85.216999999999999</v>
      </c>
      <c r="AB22" s="15">
        <f t="shared" si="5"/>
        <v>18.995977120999999</v>
      </c>
      <c r="AC22" s="15">
        <v>80.394341855929895</v>
      </c>
      <c r="AD22" s="15">
        <v>107.63500320368229</v>
      </c>
      <c r="AE22" s="15">
        <f t="shared" si="6"/>
        <v>86.532452432209425</v>
      </c>
      <c r="AF22" s="95">
        <v>-8.0569748051135606E-3</v>
      </c>
      <c r="AG22" s="15">
        <f t="shared" si="7"/>
        <v>-0.69718978907099893</v>
      </c>
      <c r="AH22" s="95">
        <f t="shared" si="10"/>
        <v>3.3575086635817541E-3</v>
      </c>
      <c r="AI22" s="95">
        <f t="shared" si="11"/>
        <v>1.4896204261300561E-2</v>
      </c>
      <c r="AJ22" s="15">
        <f t="shared" si="16"/>
        <v>88.78389014557871</v>
      </c>
      <c r="AK22" s="2">
        <f t="shared" si="15"/>
        <v>23.124632685899517</v>
      </c>
      <c r="AL22" s="160">
        <f t="shared" si="17"/>
        <v>26.045978215171829</v>
      </c>
      <c r="AM22" s="153">
        <f t="shared" si="18"/>
        <v>0</v>
      </c>
      <c r="AN22" s="161">
        <f t="shared" si="19"/>
        <v>1</v>
      </c>
      <c r="AO22" s="145"/>
    </row>
    <row r="23" spans="1:41" x14ac:dyDescent="0.2">
      <c r="A23" s="147" t="s">
        <v>187</v>
      </c>
      <c r="B23" s="15">
        <v>40.058799999999998</v>
      </c>
      <c r="C23" s="157">
        <f t="shared" si="20"/>
        <v>1</v>
      </c>
      <c r="D23" s="38"/>
      <c r="E23" s="153"/>
      <c r="F23" s="153">
        <f t="shared" si="23"/>
        <v>0</v>
      </c>
      <c r="G23" s="15">
        <v>83.003</v>
      </c>
      <c r="H23" s="15">
        <f t="shared" si="21"/>
        <v>33.250005764000001</v>
      </c>
      <c r="I23" s="15">
        <v>81.1335452</v>
      </c>
      <c r="J23" s="15">
        <v>107.82026643985904</v>
      </c>
      <c r="K23" s="15">
        <f t="shared" si="2"/>
        <v>87.478404606743467</v>
      </c>
      <c r="L23" s="95">
        <v>-2.7114857064056742E-2</v>
      </c>
      <c r="M23" s="15">
        <f t="shared" si="3"/>
        <v>-2.3719644371035717</v>
      </c>
      <c r="N23" s="95">
        <f t="shared" si="8"/>
        <v>1.4453728296199841E-3</v>
      </c>
      <c r="O23" s="95">
        <f t="shared" si="9"/>
        <v>9.1473913420365704E-3</v>
      </c>
      <c r="P23" s="15">
        <f t="shared" si="12"/>
        <v>92.455494351822978</v>
      </c>
      <c r="Q23" s="15">
        <f t="shared" si="22"/>
        <v>32.433889522628334</v>
      </c>
      <c r="R23" s="15">
        <f t="shared" si="24"/>
        <v>35.080543076441643</v>
      </c>
      <c r="S23" s="158"/>
      <c r="T23" s="154"/>
      <c r="U23" s="145"/>
      <c r="V23" s="15">
        <v>40.058799999999998</v>
      </c>
      <c r="W23" s="157">
        <f t="shared" si="0"/>
        <v>1</v>
      </c>
      <c r="X23" s="15">
        <f t="shared" si="13"/>
        <v>21.231467416666668</v>
      </c>
      <c r="Y23" s="153">
        <f t="shared" si="14"/>
        <v>0</v>
      </c>
      <c r="Z23" s="153">
        <f t="shared" si="4"/>
        <v>0</v>
      </c>
      <c r="AA23" s="15">
        <f t="shared" si="1"/>
        <v>83.003</v>
      </c>
      <c r="AB23" s="15">
        <f t="shared" si="5"/>
        <v>33.250005764000001</v>
      </c>
      <c r="AC23" s="15">
        <v>81.13330957290276</v>
      </c>
      <c r="AD23" s="15">
        <v>107.85887616661282</v>
      </c>
      <c r="AE23" s="15">
        <f t="shared" si="6"/>
        <v>87.509475902111802</v>
      </c>
      <c r="AF23" s="95">
        <v>-2.72934125532984E-2</v>
      </c>
      <c r="AG23" s="15">
        <f t="shared" si="7"/>
        <v>-2.388432228119262</v>
      </c>
      <c r="AH23" s="95">
        <f t="shared" si="10"/>
        <v>2.0777670727838427E-3</v>
      </c>
      <c r="AI23" s="95">
        <f t="shared" si="11"/>
        <v>9.1498002464494022E-3</v>
      </c>
      <c r="AJ23" s="15">
        <f t="shared" si="16"/>
        <v>92.595170318769121</v>
      </c>
      <c r="AK23" s="2">
        <f t="shared" si="15"/>
        <v>32.469225067731216</v>
      </c>
      <c r="AL23" s="160">
        <f t="shared" si="17"/>
        <v>35.06578686118543</v>
      </c>
      <c r="AM23" s="153">
        <f t="shared" si="18"/>
        <v>0</v>
      </c>
      <c r="AN23" s="161">
        <f t="shared" si="19"/>
        <v>1</v>
      </c>
      <c r="AO23" s="145"/>
    </row>
    <row r="24" spans="1:41" x14ac:dyDescent="0.2">
      <c r="A24" s="147" t="s">
        <v>188</v>
      </c>
      <c r="B24" s="15">
        <v>55.299500000000002</v>
      </c>
      <c r="C24" s="157">
        <f t="shared" si="20"/>
        <v>1</v>
      </c>
      <c r="D24" s="15">
        <f t="shared" ref="D24:D47" si="25">60+0.95/3*(B23-60)+((0.95^2)/3)*(B22-60)+((0.95^3)/3)*(B21-60)</f>
        <v>29.208525504166673</v>
      </c>
      <c r="E24" s="153">
        <f t="shared" ref="E24:E46" si="26">IF(B24&lt;D24,1,0)</f>
        <v>0</v>
      </c>
      <c r="F24" s="153">
        <f t="shared" si="23"/>
        <v>0</v>
      </c>
      <c r="G24" s="15">
        <v>83.914000000000001</v>
      </c>
      <c r="H24" s="15">
        <f t="shared" si="21"/>
        <v>46.404022430000005</v>
      </c>
      <c r="I24" s="15">
        <v>82.694430800000006</v>
      </c>
      <c r="J24" s="15">
        <v>108.29847517357058</v>
      </c>
      <c r="K24" s="15">
        <f t="shared" si="2"/>
        <v>89.556807609863512</v>
      </c>
      <c r="L24" s="95">
        <v>-3.3394312673342245E-2</v>
      </c>
      <c r="M24" s="15">
        <f t="shared" si="3"/>
        <v>-2.9906880353501384</v>
      </c>
      <c r="N24" s="95">
        <f t="shared" si="8"/>
        <v>4.4254330799464725E-3</v>
      </c>
      <c r="O24" s="95">
        <f t="shared" si="9"/>
        <v>1.9055754340065789E-2</v>
      </c>
      <c r="P24" s="15">
        <f t="shared" si="12"/>
        <v>94.026581339277243</v>
      </c>
      <c r="Q24" s="15">
        <f t="shared" si="22"/>
        <v>40.331351722068909</v>
      </c>
      <c r="R24" s="15">
        <f>Q24/P24*100</f>
        <v>42.893563870562105</v>
      </c>
      <c r="S24" s="153">
        <f t="shared" ref="S24:S46" si="27">IF(R24&lt;D24,1,0)</f>
        <v>0</v>
      </c>
      <c r="T24" s="161">
        <f>IF(OR(C24=1,E24=1,F24=1,S24=1),1,0)</f>
        <v>1</v>
      </c>
      <c r="U24" s="145"/>
      <c r="V24" s="15">
        <v>55.299500000000002</v>
      </c>
      <c r="W24" s="157">
        <f t="shared" si="0"/>
        <v>1</v>
      </c>
      <c r="X24" s="15">
        <f t="shared" si="13"/>
        <v>29.208525504166673</v>
      </c>
      <c r="Y24" s="153">
        <f t="shared" si="14"/>
        <v>0</v>
      </c>
      <c r="Z24" s="153">
        <f t="shared" si="4"/>
        <v>0</v>
      </c>
      <c r="AA24" s="15">
        <f t="shared" si="1"/>
        <v>83.914000000000001</v>
      </c>
      <c r="AB24" s="15">
        <f t="shared" si="5"/>
        <v>46.404022430000005</v>
      </c>
      <c r="AC24" s="15">
        <v>82.694287059127007</v>
      </c>
      <c r="AD24" s="15">
        <v>108.40804968158675</v>
      </c>
      <c r="AE24" s="15">
        <f t="shared" si="6"/>
        <v>89.647263798892368</v>
      </c>
      <c r="AF24" s="95">
        <v>-3.3895399420439391E-2</v>
      </c>
      <c r="AG24" s="15">
        <f t="shared" si="7"/>
        <v>-3.0386298134129537</v>
      </c>
      <c r="AH24" s="95">
        <f t="shared" si="10"/>
        <v>5.078674820196305E-3</v>
      </c>
      <c r="AI24" s="95">
        <f t="shared" si="11"/>
        <v>1.9056920314036496E-2</v>
      </c>
      <c r="AJ24" s="15">
        <f t="shared" si="16"/>
        <v>94.202442759958259</v>
      </c>
      <c r="AK24" s="2">
        <f t="shared" si="15"/>
        <v>40.279770599396791</v>
      </c>
      <c r="AL24" s="160">
        <f t="shared" si="17"/>
        <v>42.758732596813438</v>
      </c>
      <c r="AM24" s="153">
        <f t="shared" si="18"/>
        <v>0</v>
      </c>
      <c r="AN24" s="161">
        <f t="shared" si="19"/>
        <v>1</v>
      </c>
      <c r="AO24" s="145"/>
    </row>
    <row r="25" spans="1:41" x14ac:dyDescent="0.2">
      <c r="A25" s="147" t="s">
        <v>189</v>
      </c>
      <c r="B25" s="15">
        <v>57.633099999999999</v>
      </c>
      <c r="C25" s="157">
        <f t="shared" si="20"/>
        <v>1</v>
      </c>
      <c r="D25" s="15">
        <f t="shared" si="25"/>
        <v>41.735698445833336</v>
      </c>
      <c r="E25" s="153">
        <f t="shared" si="26"/>
        <v>0</v>
      </c>
      <c r="F25" s="153">
        <f t="shared" si="23"/>
        <v>0</v>
      </c>
      <c r="G25" s="15">
        <v>88.403999999999996</v>
      </c>
      <c r="H25" s="15">
        <f t="shared" si="21"/>
        <v>50.949965723999995</v>
      </c>
      <c r="I25" s="15">
        <v>84.048273899999998</v>
      </c>
      <c r="J25" s="15">
        <v>109.92691223881151</v>
      </c>
      <c r="K25" s="15">
        <f t="shared" si="2"/>
        <v>92.391672288288916</v>
      </c>
      <c r="L25" s="95">
        <v>-2.2875073404293098E-2</v>
      </c>
      <c r="M25" s="15">
        <f t="shared" si="3"/>
        <v>-2.1134662855400013</v>
      </c>
      <c r="N25" s="95">
        <f t="shared" si="8"/>
        <v>1.4924636510832201E-2</v>
      </c>
      <c r="O25" s="95">
        <f t="shared" si="9"/>
        <v>1.6239065497048344E-2</v>
      </c>
      <c r="P25" s="15">
        <f t="shared" si="12"/>
        <v>90.918745440792421</v>
      </c>
      <c r="Q25" s="15">
        <f t="shared" si="22"/>
        <v>43.473846966006285</v>
      </c>
      <c r="R25" s="15">
        <f t="shared" si="24"/>
        <v>47.816153594328988</v>
      </c>
      <c r="S25" s="153">
        <f t="shared" si="27"/>
        <v>0</v>
      </c>
      <c r="T25" s="161">
        <f t="shared" ref="T25:T45" si="28">IF(OR(C25=1,E25=1,F25=1,S25=1),1,0)</f>
        <v>1</v>
      </c>
      <c r="U25" s="145"/>
      <c r="V25" s="15">
        <v>57.633099999999999</v>
      </c>
      <c r="W25" s="157">
        <f t="shared" si="0"/>
        <v>1</v>
      </c>
      <c r="X25" s="15">
        <f t="shared" si="13"/>
        <v>41.735698445833336</v>
      </c>
      <c r="Y25" s="153">
        <f t="shared" si="14"/>
        <v>0</v>
      </c>
      <c r="Z25" s="153">
        <f t="shared" si="4"/>
        <v>0</v>
      </c>
      <c r="AA25" s="15">
        <f t="shared" si="1"/>
        <v>88.403999999999996</v>
      </c>
      <c r="AB25" s="15">
        <f t="shared" si="5"/>
        <v>50.949965724000002</v>
      </c>
      <c r="AC25" s="15">
        <v>84.048123800073967</v>
      </c>
      <c r="AD25" s="15">
        <v>110.05434990467339</v>
      </c>
      <c r="AE25" s="15">
        <f t="shared" si="6"/>
        <v>92.498616255246475</v>
      </c>
      <c r="AF25" s="95">
        <v>-2.3461395457983918E-2</v>
      </c>
      <c r="AG25" s="15">
        <f t="shared" si="7"/>
        <v>-2.170146615280637</v>
      </c>
      <c r="AH25" s="95">
        <f t="shared" si="10"/>
        <v>1.5071988508901235E-2</v>
      </c>
      <c r="AI25" s="95">
        <f t="shared" si="11"/>
        <v>1.6239017836498171E-2</v>
      </c>
      <c r="AJ25" s="15">
        <f t="shared" si="16"/>
        <v>91.048860753355896</v>
      </c>
      <c r="AK25" s="2">
        <f t="shared" si="15"/>
        <v>43.352757067187149</v>
      </c>
      <c r="AL25" s="160">
        <f t="shared" si="17"/>
        <v>47.614826488193316</v>
      </c>
      <c r="AM25" s="153">
        <f t="shared" si="18"/>
        <v>0</v>
      </c>
      <c r="AN25" s="161">
        <f t="shared" si="19"/>
        <v>1</v>
      </c>
      <c r="AO25" s="145"/>
    </row>
    <row r="26" spans="1:41" x14ac:dyDescent="0.2">
      <c r="A26" s="147" t="s">
        <v>190</v>
      </c>
      <c r="B26" s="15">
        <v>56.578299999999999</v>
      </c>
      <c r="C26" s="157">
        <f t="shared" si="20"/>
        <v>1</v>
      </c>
      <c r="D26" s="15">
        <f t="shared" si="25"/>
        <v>52.137385799999997</v>
      </c>
      <c r="E26" s="153">
        <f t="shared" si="26"/>
        <v>0</v>
      </c>
      <c r="F26" s="153">
        <f t="shared" si="23"/>
        <v>1</v>
      </c>
      <c r="G26" s="15">
        <v>96.063999999999993</v>
      </c>
      <c r="H26" s="15">
        <f t="shared" si="21"/>
        <v>54.351378111999992</v>
      </c>
      <c r="I26" s="15">
        <v>87.849854199999996</v>
      </c>
      <c r="J26" s="15">
        <v>112.47970177792729</v>
      </c>
      <c r="K26" s="15">
        <f t="shared" si="2"/>
        <v>98.813254016503919</v>
      </c>
      <c r="L26" s="95">
        <v>-1.4746044095815218E-2</v>
      </c>
      <c r="M26" s="15">
        <f t="shared" si="3"/>
        <v>-1.457104600978357</v>
      </c>
      <c r="N26" s="95">
        <f t="shared" si="8"/>
        <v>2.2957065959053224E-2</v>
      </c>
      <c r="O26" s="95">
        <f t="shared" si="9"/>
        <v>4.4237831926222881E-2</v>
      </c>
      <c r="P26" s="15">
        <f t="shared" si="12"/>
        <v>93.604331603866669</v>
      </c>
      <c r="Q26" s="15">
        <f t="shared" si="22"/>
        <v>47.790119190131499</v>
      </c>
      <c r="R26" s="15">
        <f t="shared" si="24"/>
        <v>51.055456912377927</v>
      </c>
      <c r="S26" s="153">
        <f t="shared" si="27"/>
        <v>1</v>
      </c>
      <c r="T26" s="161">
        <f t="shared" si="28"/>
        <v>1</v>
      </c>
      <c r="U26" s="145"/>
      <c r="V26" s="15">
        <v>56.578299999999999</v>
      </c>
      <c r="W26" s="157">
        <f t="shared" si="0"/>
        <v>1</v>
      </c>
      <c r="X26" s="15">
        <f t="shared" si="13"/>
        <v>52.137385799999997</v>
      </c>
      <c r="Y26" s="153">
        <f t="shared" si="14"/>
        <v>0</v>
      </c>
      <c r="Z26" s="153">
        <f t="shared" si="4"/>
        <v>1</v>
      </c>
      <c r="AA26" s="15">
        <f t="shared" si="1"/>
        <v>96.063999999999993</v>
      </c>
      <c r="AB26" s="15">
        <f t="shared" si="5"/>
        <v>54.351378111999999</v>
      </c>
      <c r="AC26" s="15">
        <v>87.849658149358362</v>
      </c>
      <c r="AD26" s="15">
        <v>112.60392400307018</v>
      </c>
      <c r="AE26" s="15">
        <f t="shared" si="6"/>
        <v>98.922162299460439</v>
      </c>
      <c r="AF26" s="95">
        <v>-1.5313312846198269E-2</v>
      </c>
      <c r="AG26" s="15">
        <f t="shared" si="7"/>
        <v>-1.5148260187140377</v>
      </c>
      <c r="AH26" s="95">
        <f t="shared" si="10"/>
        <v>2.2902230336124596E-2</v>
      </c>
      <c r="AI26" s="95">
        <f t="shared" si="11"/>
        <v>4.4237386147027991E-2</v>
      </c>
      <c r="AJ26" s="15">
        <f t="shared" si="16"/>
        <v>93.673848395843237</v>
      </c>
      <c r="AK26" s="2">
        <f t="shared" si="15"/>
        <v>47.62777566459237</v>
      </c>
      <c r="AL26" s="160">
        <f t="shared" si="17"/>
        <v>50.844260677034214</v>
      </c>
      <c r="AM26" s="153">
        <f t="shared" si="18"/>
        <v>1</v>
      </c>
      <c r="AN26" s="161">
        <f t="shared" si="19"/>
        <v>1</v>
      </c>
      <c r="AO26" s="145"/>
    </row>
    <row r="27" spans="1:41" x14ac:dyDescent="0.2">
      <c r="A27" s="147" t="s">
        <v>191</v>
      </c>
      <c r="B27" s="15">
        <v>56.952599999999997</v>
      </c>
      <c r="C27" s="157">
        <f t="shared" si="20"/>
        <v>1</v>
      </c>
      <c r="D27" s="15">
        <f t="shared" si="25"/>
        <v>56.861055520833325</v>
      </c>
      <c r="E27" s="153">
        <f t="shared" si="26"/>
        <v>0</v>
      </c>
      <c r="F27" s="153">
        <f t="shared" si="23"/>
        <v>1</v>
      </c>
      <c r="G27" s="15">
        <v>99.131</v>
      </c>
      <c r="H27" s="15">
        <f t="shared" si="21"/>
        <v>56.457681905999998</v>
      </c>
      <c r="I27" s="15">
        <v>87.530256300000005</v>
      </c>
      <c r="J27" s="15">
        <v>115.59309197143637</v>
      </c>
      <c r="K27" s="15">
        <f t="shared" si="2"/>
        <v>101.17892966769297</v>
      </c>
      <c r="L27" s="95">
        <v>-1.0727556670667573E-2</v>
      </c>
      <c r="M27" s="15">
        <f t="shared" si="3"/>
        <v>-1.0854027018876649</v>
      </c>
      <c r="N27" s="95">
        <f t="shared" si="8"/>
        <v>2.7303419695513753E-2</v>
      </c>
      <c r="O27" s="95">
        <f t="shared" si="9"/>
        <v>-3.6446351056200754E-3</v>
      </c>
      <c r="P27" s="15">
        <f t="shared" si="12"/>
        <v>94.631109334406915</v>
      </c>
      <c r="Q27" s="15">
        <f t="shared" si="22"/>
        <v>51.801708317593977</v>
      </c>
      <c r="R27" s="15">
        <f t="shared" si="24"/>
        <v>54.74067532542324</v>
      </c>
      <c r="S27" s="153">
        <f t="shared" si="27"/>
        <v>1</v>
      </c>
      <c r="T27" s="161">
        <f t="shared" si="28"/>
        <v>1</v>
      </c>
      <c r="U27" s="145"/>
      <c r="V27" s="15">
        <v>56.952599999999997</v>
      </c>
      <c r="W27" s="157">
        <f t="shared" si="0"/>
        <v>1</v>
      </c>
      <c r="X27" s="15">
        <f t="shared" si="13"/>
        <v>56.861055520833325</v>
      </c>
      <c r="Y27" s="153">
        <f t="shared" si="14"/>
        <v>0</v>
      </c>
      <c r="Z27" s="153">
        <f t="shared" si="4"/>
        <v>1</v>
      </c>
      <c r="AA27" s="15">
        <f t="shared" si="1"/>
        <v>99.131</v>
      </c>
      <c r="AB27" s="15">
        <f t="shared" si="5"/>
        <v>56.457681905999998</v>
      </c>
      <c r="AC27" s="15">
        <v>87.530028298514964</v>
      </c>
      <c r="AD27" s="15">
        <v>115.71479931641345</v>
      </c>
      <c r="AE27" s="15">
        <f t="shared" si="6"/>
        <v>101.28519658722649</v>
      </c>
      <c r="AF27" s="95">
        <v>-1.1272369800327031E-2</v>
      </c>
      <c r="AG27" s="15">
        <f t="shared" si="7"/>
        <v>-1.1417241912300384</v>
      </c>
      <c r="AH27" s="95">
        <f t="shared" si="10"/>
        <v>2.7251972989494E-2</v>
      </c>
      <c r="AI27" s="95">
        <f t="shared" si="11"/>
        <v>-3.645008281208284E-3</v>
      </c>
      <c r="AJ27" s="15">
        <f t="shared" si="16"/>
        <v>94.634955147196749</v>
      </c>
      <c r="AK27" s="2">
        <f t="shared" si="15"/>
        <v>51.630985080775282</v>
      </c>
      <c r="AL27" s="160">
        <f t="shared" si="17"/>
        <v>54.558048873661548</v>
      </c>
      <c r="AM27" s="153">
        <f t="shared" si="18"/>
        <v>1</v>
      </c>
      <c r="AN27" s="161">
        <f t="shared" si="19"/>
        <v>1</v>
      </c>
      <c r="AO27" s="145"/>
    </row>
    <row r="28" spans="1:41" x14ac:dyDescent="0.2">
      <c r="A28" s="147" t="s">
        <v>192</v>
      </c>
      <c r="B28" s="15">
        <v>53.881500000000003</v>
      </c>
      <c r="C28" s="157">
        <f t="shared" si="20"/>
        <v>1</v>
      </c>
      <c r="D28" s="15">
        <f t="shared" si="25"/>
        <v>57.329188287500003</v>
      </c>
      <c r="E28" s="153">
        <f t="shared" si="26"/>
        <v>1</v>
      </c>
      <c r="F28" s="153">
        <f t="shared" si="23"/>
        <v>1</v>
      </c>
      <c r="G28" s="15">
        <v>107.38</v>
      </c>
      <c r="H28" s="15">
        <f t="shared" si="21"/>
        <v>57.857954700000001</v>
      </c>
      <c r="I28" s="15">
        <v>89.273777999999993</v>
      </c>
      <c r="J28" s="15">
        <v>119.57798662394794</v>
      </c>
      <c r="K28" s="15">
        <f t="shared" si="2"/>
        <v>106.75178631553297</v>
      </c>
      <c r="L28" s="95">
        <v>3.1189477247219226E-3</v>
      </c>
      <c r="M28" s="15">
        <f t="shared" si="3"/>
        <v>0.33295324103883245</v>
      </c>
      <c r="N28" s="95">
        <f t="shared" si="8"/>
        <v>3.3892569827386865E-2</v>
      </c>
      <c r="O28" s="95">
        <f t="shared" si="9"/>
        <v>1.972328546528157E-2</v>
      </c>
      <c r="P28" s="15">
        <f t="shared" si="12"/>
        <v>101.90593873327745</v>
      </c>
      <c r="Q28" s="15">
        <f t="shared" si="22"/>
        <v>55.648400638172809</v>
      </c>
      <c r="R28" s="15">
        <f t="shared" si="24"/>
        <v>54.607612990861732</v>
      </c>
      <c r="S28" s="153">
        <f t="shared" si="27"/>
        <v>1</v>
      </c>
      <c r="T28" s="161">
        <f t="shared" si="28"/>
        <v>1</v>
      </c>
      <c r="U28" s="145"/>
      <c r="V28" s="15">
        <v>53.881500000000003</v>
      </c>
      <c r="W28" s="157">
        <f t="shared" si="0"/>
        <v>1</v>
      </c>
      <c r="X28" s="15">
        <f t="shared" si="13"/>
        <v>57.329188287500003</v>
      </c>
      <c r="Y28" s="153">
        <f t="shared" si="14"/>
        <v>1</v>
      </c>
      <c r="Z28" s="153">
        <f t="shared" si="4"/>
        <v>1</v>
      </c>
      <c r="AA28" s="15">
        <f t="shared" si="1"/>
        <v>107.38</v>
      </c>
      <c r="AB28" s="15">
        <f t="shared" si="5"/>
        <v>57.857954700000001</v>
      </c>
      <c r="AC28" s="15">
        <v>89.273427264350218</v>
      </c>
      <c r="AD28" s="15">
        <v>119.66866657795838</v>
      </c>
      <c r="AE28" s="15">
        <f t="shared" si="6"/>
        <v>106.83232001569145</v>
      </c>
      <c r="AF28" s="95">
        <v>2.7170653191926721E-3</v>
      </c>
      <c r="AG28" s="15">
        <f t="shared" si="7"/>
        <v>0.29027039168352836</v>
      </c>
      <c r="AH28" s="95">
        <f t="shared" si="10"/>
        <v>3.3598274892919555E-2</v>
      </c>
      <c r="AI28" s="95">
        <f t="shared" si="11"/>
        <v>1.972196152699901E-2</v>
      </c>
      <c r="AJ28" s="15">
        <f t="shared" si="16"/>
        <v>101.86615479455402</v>
      </c>
      <c r="AK28" s="2">
        <f t="shared" si="15"/>
        <v>55.491674881739449</v>
      </c>
      <c r="AL28" s="160">
        <f t="shared" si="17"/>
        <v>54.475085462542808</v>
      </c>
      <c r="AM28" s="153">
        <f t="shared" si="18"/>
        <v>1</v>
      </c>
      <c r="AN28" s="161">
        <f t="shared" si="19"/>
        <v>1</v>
      </c>
      <c r="AO28" s="145"/>
    </row>
    <row r="29" spans="1:41" x14ac:dyDescent="0.2">
      <c r="A29" s="147" t="s">
        <v>193</v>
      </c>
      <c r="B29" s="15">
        <v>48.369700000000002</v>
      </c>
      <c r="C29" s="157">
        <f t="shared" si="20"/>
        <v>1</v>
      </c>
      <c r="D29" s="15">
        <f t="shared" si="25"/>
        <v>56.167822154166664</v>
      </c>
      <c r="E29" s="153">
        <f t="shared" si="26"/>
        <v>1</v>
      </c>
      <c r="F29" s="153">
        <f t="shared" si="23"/>
        <v>1</v>
      </c>
      <c r="G29" s="15">
        <v>116.631</v>
      </c>
      <c r="H29" s="15">
        <f t="shared" si="21"/>
        <v>56.414064807000003</v>
      </c>
      <c r="I29" s="15">
        <v>92.320223299999995</v>
      </c>
      <c r="J29" s="15">
        <v>124.24578326854012</v>
      </c>
      <c r="K29" s="15">
        <f t="shared" si="2"/>
        <v>114.70398455435028</v>
      </c>
      <c r="L29" s="95">
        <v>8.9039469877433882E-3</v>
      </c>
      <c r="M29" s="15">
        <f t="shared" si="3"/>
        <v>1.0213181977548713</v>
      </c>
      <c r="N29" s="95">
        <f t="shared" si="8"/>
        <v>3.8292960676787224E-2</v>
      </c>
      <c r="O29" s="95">
        <f t="shared" si="9"/>
        <v>3.3555416173431496E-2</v>
      </c>
      <c r="P29" s="15">
        <f t="shared" si="12"/>
        <v>111.24617596557185</v>
      </c>
      <c r="Q29" s="15">
        <f t="shared" si="22"/>
        <v>56.682933543906039</v>
      </c>
      <c r="R29" s="15">
        <f t="shared" si="24"/>
        <v>50.952702914883218</v>
      </c>
      <c r="S29" s="153">
        <f t="shared" si="27"/>
        <v>1</v>
      </c>
      <c r="T29" s="161">
        <f t="shared" si="28"/>
        <v>1</v>
      </c>
      <c r="U29" s="145"/>
      <c r="V29" s="15">
        <v>48.369700000000002</v>
      </c>
      <c r="W29" s="157">
        <f t="shared" si="0"/>
        <v>1</v>
      </c>
      <c r="X29" s="15">
        <f t="shared" si="13"/>
        <v>56.167822154166664</v>
      </c>
      <c r="Y29" s="153">
        <f t="shared" si="14"/>
        <v>1</v>
      </c>
      <c r="Z29" s="153">
        <f t="shared" si="4"/>
        <v>1</v>
      </c>
      <c r="AA29" s="15">
        <f t="shared" si="1"/>
        <v>116.631</v>
      </c>
      <c r="AB29" s="15">
        <f t="shared" si="5"/>
        <v>56.414064807000003</v>
      </c>
      <c r="AC29" s="15">
        <v>92.320132749423834</v>
      </c>
      <c r="AD29" s="15">
        <v>124.29800645196073</v>
      </c>
      <c r="AE29" s="15">
        <f t="shared" si="6"/>
        <v>114.75208456133754</v>
      </c>
      <c r="AF29" s="95">
        <v>8.6780574513991276E-3</v>
      </c>
      <c r="AG29" s="15">
        <f t="shared" si="7"/>
        <v>0.99582518249109808</v>
      </c>
      <c r="AH29" s="95">
        <f t="shared" si="10"/>
        <v>3.7955148158681951E-2</v>
      </c>
      <c r="AI29" s="95">
        <f t="shared" si="11"/>
        <v>3.3558364113742911E-2</v>
      </c>
      <c r="AJ29" s="15">
        <f t="shared" si="16"/>
        <v>111.1728893328757</v>
      </c>
      <c r="AK29" s="2">
        <f t="shared" si="15"/>
        <v>56.558436189944587</v>
      </c>
      <c r="AL29" s="160">
        <f t="shared" si="17"/>
        <v>50.874306253385562</v>
      </c>
      <c r="AM29" s="153">
        <f t="shared" si="18"/>
        <v>1</v>
      </c>
      <c r="AN29" s="161">
        <f t="shared" si="19"/>
        <v>1</v>
      </c>
      <c r="AO29" s="145"/>
    </row>
    <row r="30" spans="1:41" x14ac:dyDescent="0.2">
      <c r="A30" s="147" t="s">
        <v>194</v>
      </c>
      <c r="B30" s="15">
        <v>45.689</v>
      </c>
      <c r="C30" s="157">
        <f t="shared" si="20"/>
        <v>1</v>
      </c>
      <c r="D30" s="15">
        <f t="shared" si="25"/>
        <v>53.605501391666671</v>
      </c>
      <c r="E30" s="153">
        <f t="shared" si="26"/>
        <v>1</v>
      </c>
      <c r="F30" s="153">
        <f t="shared" si="23"/>
        <v>1</v>
      </c>
      <c r="G30" s="15">
        <v>122.321</v>
      </c>
      <c r="H30" s="15">
        <f t="shared" si="21"/>
        <v>55.887241690000003</v>
      </c>
      <c r="I30" s="15">
        <v>93.182277499999998</v>
      </c>
      <c r="J30" s="15">
        <v>129.30751171819804</v>
      </c>
      <c r="K30" s="15">
        <f t="shared" si="2"/>
        <v>120.49168439759632</v>
      </c>
      <c r="L30" s="95">
        <v>8.0465077050013659E-3</v>
      </c>
      <c r="M30" s="15">
        <f t="shared" si="3"/>
        <v>0.96953726689385167</v>
      </c>
      <c r="N30" s="95">
        <f t="shared" si="8"/>
        <v>3.9931652434389342E-2</v>
      </c>
      <c r="O30" s="95">
        <f t="shared" si="9"/>
        <v>9.294326512585549E-3</v>
      </c>
      <c r="P30" s="15">
        <f t="shared" si="12"/>
        <v>117.71818131394073</v>
      </c>
      <c r="Q30" s="15">
        <f t="shared" si="22"/>
        <v>58.211050395687558</v>
      </c>
      <c r="R30" s="15">
        <f t="shared" si="24"/>
        <v>49.449498578682118</v>
      </c>
      <c r="S30" s="153">
        <f t="shared" si="27"/>
        <v>1</v>
      </c>
      <c r="T30" s="161">
        <f t="shared" si="28"/>
        <v>1</v>
      </c>
      <c r="U30" s="145"/>
      <c r="V30" s="15">
        <v>45.689</v>
      </c>
      <c r="W30" s="157">
        <f t="shared" si="0"/>
        <v>1</v>
      </c>
      <c r="X30" s="15">
        <f t="shared" si="13"/>
        <v>53.605501391666671</v>
      </c>
      <c r="Y30" s="153">
        <f t="shared" si="14"/>
        <v>1</v>
      </c>
      <c r="Z30" s="153">
        <f t="shared" si="4"/>
        <v>1</v>
      </c>
      <c r="AA30" s="15">
        <f t="shared" si="1"/>
        <v>122.321</v>
      </c>
      <c r="AB30" s="15">
        <f t="shared" si="5"/>
        <v>55.887241690000003</v>
      </c>
      <c r="AC30" s="15">
        <v>93.182475587374682</v>
      </c>
      <c r="AD30" s="15">
        <v>129.31184690375147</v>
      </c>
      <c r="AE30" s="15">
        <f t="shared" si="6"/>
        <v>120.49598017267154</v>
      </c>
      <c r="AF30" s="95">
        <v>8.0273259497785458E-3</v>
      </c>
      <c r="AG30" s="15">
        <f t="shared" si="7"/>
        <v>0.9672605084840874</v>
      </c>
      <c r="AH30" s="95">
        <f t="shared" si="10"/>
        <v>3.9544944776366719E-2</v>
      </c>
      <c r="AI30" s="95">
        <f t="shared" si="11"/>
        <v>9.2974331474815486E-3</v>
      </c>
      <c r="AJ30" s="15">
        <f t="shared" si="16"/>
        <v>117.60318086998224</v>
      </c>
      <c r="AK30" s="2">
        <f t="shared" si="15"/>
        <v>58.140597772658715</v>
      </c>
      <c r="AL30" s="160">
        <f t="shared" si="17"/>
        <v>49.437946612121678</v>
      </c>
      <c r="AM30" s="153">
        <f t="shared" si="18"/>
        <v>1</v>
      </c>
      <c r="AN30" s="161">
        <f t="shared" si="19"/>
        <v>1</v>
      </c>
      <c r="AO30" s="145"/>
    </row>
    <row r="31" spans="1:41" x14ac:dyDescent="0.2">
      <c r="A31" s="147" t="s">
        <v>195</v>
      </c>
      <c r="B31" s="15">
        <v>43.793599999999998</v>
      </c>
      <c r="C31" s="157">
        <f t="shared" si="20"/>
        <v>1</v>
      </c>
      <c r="D31" s="15">
        <f t="shared" si="25"/>
        <v>50.220785104166673</v>
      </c>
      <c r="E31" s="153">
        <f t="shared" si="26"/>
        <v>1</v>
      </c>
      <c r="F31" s="153">
        <f t="shared" si="23"/>
        <v>1</v>
      </c>
      <c r="G31" s="15">
        <v>132.19499999999999</v>
      </c>
      <c r="H31" s="15">
        <f t="shared" si="21"/>
        <v>57.892949519999995</v>
      </c>
      <c r="I31" s="15">
        <v>95.613897300000005</v>
      </c>
      <c r="J31" s="15">
        <v>134.59514302606155</v>
      </c>
      <c r="K31" s="15">
        <f t="shared" si="2"/>
        <v>128.69166182372661</v>
      </c>
      <c r="L31" s="95">
        <v>1.4428045860550525E-2</v>
      </c>
      <c r="M31" s="15">
        <f t="shared" si="3"/>
        <v>1.8567691986631867</v>
      </c>
      <c r="N31" s="95">
        <f t="shared" si="8"/>
        <v>4.0077952699093977E-2</v>
      </c>
      <c r="O31" s="95">
        <f t="shared" si="9"/>
        <v>2.5760630708850485E-2</v>
      </c>
      <c r="P31" s="15">
        <f t="shared" si="12"/>
        <v>129.03621707168719</v>
      </c>
      <c r="Q31" s="15">
        <f t="shared" si="22"/>
        <v>61.740574183311907</v>
      </c>
      <c r="R31" s="15">
        <f t="shared" si="24"/>
        <v>47.847476921158801</v>
      </c>
      <c r="S31" s="153">
        <f t="shared" si="27"/>
        <v>1</v>
      </c>
      <c r="T31" s="161">
        <f t="shared" si="28"/>
        <v>1</v>
      </c>
      <c r="U31" s="145"/>
      <c r="V31" s="15">
        <v>43.793599999999998</v>
      </c>
      <c r="W31" s="157">
        <f t="shared" si="0"/>
        <v>1</v>
      </c>
      <c r="X31" s="15">
        <f t="shared" si="13"/>
        <v>50.220785104166673</v>
      </c>
      <c r="Y31" s="153">
        <f t="shared" si="14"/>
        <v>1</v>
      </c>
      <c r="Z31" s="153">
        <f t="shared" si="4"/>
        <v>1</v>
      </c>
      <c r="AA31" s="15">
        <f t="shared" si="1"/>
        <v>132.19499999999999</v>
      </c>
      <c r="AB31" s="15">
        <f t="shared" si="5"/>
        <v>57.892949519999995</v>
      </c>
      <c r="AC31" s="15">
        <v>95.614143518665557</v>
      </c>
      <c r="AD31" s="15">
        <v>134.5542791696918</v>
      </c>
      <c r="AE31" s="15">
        <f t="shared" si="6"/>
        <v>128.65292159581503</v>
      </c>
      <c r="AF31" s="95">
        <v>1.4591985404854521E-2</v>
      </c>
      <c r="AG31" s="15">
        <f t="shared" si="7"/>
        <v>1.877301554218026</v>
      </c>
      <c r="AH31" s="95">
        <f t="shared" si="10"/>
        <v>3.9740775266153605E-2</v>
      </c>
      <c r="AI31" s="95">
        <f t="shared" si="11"/>
        <v>2.5761080037253414E-2</v>
      </c>
      <c r="AJ31" s="15">
        <f t="shared" si="16"/>
        <v>128.90528550992025</v>
      </c>
      <c r="AK31" s="2">
        <f t="shared" si="15"/>
        <v>61.733336765193208</v>
      </c>
      <c r="AL31" s="160">
        <f t="shared" si="17"/>
        <v>47.890461993850792</v>
      </c>
      <c r="AM31" s="153">
        <f t="shared" si="18"/>
        <v>1</v>
      </c>
      <c r="AN31" s="161">
        <f t="shared" si="19"/>
        <v>1</v>
      </c>
      <c r="AO31" s="145"/>
    </row>
    <row r="32" spans="1:41" x14ac:dyDescent="0.2">
      <c r="A32" s="147" t="s">
        <v>196</v>
      </c>
      <c r="B32" s="15">
        <v>42.459499999999998</v>
      </c>
      <c r="C32" s="157">
        <f t="shared" si="20"/>
        <v>1</v>
      </c>
      <c r="D32" s="15">
        <f t="shared" si="25"/>
        <v>47.238904679166666</v>
      </c>
      <c r="E32" s="153">
        <f t="shared" si="26"/>
        <v>1</v>
      </c>
      <c r="F32" s="153">
        <f t="shared" si="23"/>
        <v>0</v>
      </c>
      <c r="G32" s="15">
        <v>139.28800000000001</v>
      </c>
      <c r="H32" s="15">
        <f t="shared" si="21"/>
        <v>59.140988360000001</v>
      </c>
      <c r="I32" s="15">
        <v>98.494746199999994</v>
      </c>
      <c r="J32" s="15">
        <v>139.9011300811608</v>
      </c>
      <c r="K32" s="15">
        <f t="shared" si="2"/>
        <v>137.79526300437118</v>
      </c>
      <c r="L32" s="95">
        <v>5.7414937000065582E-3</v>
      </c>
      <c r="M32" s="15">
        <f t="shared" si="3"/>
        <v>0.79115063443034384</v>
      </c>
      <c r="N32" s="95">
        <f t="shared" si="8"/>
        <v>3.8664627359149328E-2</v>
      </c>
      <c r="O32" s="95">
        <f t="shared" si="9"/>
        <v>2.9685029945318853E-2</v>
      </c>
      <c r="P32" s="15">
        <f t="shared" si="12"/>
        <v>139.67808935271208</v>
      </c>
      <c r="Q32" s="15">
        <f t="shared" si="22"/>
        <v>62.758445459987385</v>
      </c>
      <c r="R32" s="15">
        <f t="shared" si="24"/>
        <v>44.930773144749367</v>
      </c>
      <c r="S32" s="153">
        <f t="shared" si="27"/>
        <v>1</v>
      </c>
      <c r="T32" s="161">
        <f t="shared" si="28"/>
        <v>1</v>
      </c>
      <c r="U32" s="145"/>
      <c r="V32" s="15">
        <v>42.459499999999998</v>
      </c>
      <c r="W32" s="157">
        <f t="shared" si="0"/>
        <v>1</v>
      </c>
      <c r="X32" s="15">
        <f t="shared" si="13"/>
        <v>47.238904679166666</v>
      </c>
      <c r="Y32" s="153">
        <f t="shared" si="14"/>
        <v>1</v>
      </c>
      <c r="Z32" s="153">
        <f t="shared" si="4"/>
        <v>0</v>
      </c>
      <c r="AA32" s="15">
        <f t="shared" si="1"/>
        <v>139.28800000000001</v>
      </c>
      <c r="AB32" s="15">
        <f t="shared" si="5"/>
        <v>59.140988360000001</v>
      </c>
      <c r="AC32" s="15">
        <v>98.494999204430684</v>
      </c>
      <c r="AD32" s="15">
        <v>139.81350292519932</v>
      </c>
      <c r="AE32" s="15">
        <f t="shared" si="6"/>
        <v>137.70930859386172</v>
      </c>
      <c r="AF32" s="95">
        <v>6.0758887964570451E-3</v>
      </c>
      <c r="AG32" s="15">
        <f t="shared" si="7"/>
        <v>0.8367064452532903</v>
      </c>
      <c r="AH32" s="95">
        <f t="shared" si="10"/>
        <v>3.834173235087146E-2</v>
      </c>
      <c r="AI32" s="95">
        <f t="shared" si="11"/>
        <v>2.9685023520538145E-2</v>
      </c>
      <c r="AJ32" s="15">
        <f t="shared" si="16"/>
        <v>139.5379816922069</v>
      </c>
      <c r="AK32" s="2">
        <f t="shared" si="15"/>
        <v>62.82225686795541</v>
      </c>
      <c r="AL32" s="160">
        <f t="shared" si="17"/>
        <v>45.021617846335801</v>
      </c>
      <c r="AM32" s="153">
        <f t="shared" si="18"/>
        <v>1</v>
      </c>
      <c r="AN32" s="161">
        <f t="shared" si="19"/>
        <v>1</v>
      </c>
      <c r="AO32" s="145"/>
    </row>
    <row r="33" spans="1:41" x14ac:dyDescent="0.2">
      <c r="A33" s="147" t="s">
        <v>197</v>
      </c>
      <c r="B33" s="15">
        <v>41.4679</v>
      </c>
      <c r="C33" s="157">
        <f t="shared" si="20"/>
        <v>1</v>
      </c>
      <c r="D33" s="15">
        <f t="shared" si="25"/>
        <v>45.480118458333337</v>
      </c>
      <c r="E33" s="153">
        <f t="shared" si="26"/>
        <v>1</v>
      </c>
      <c r="F33" s="153">
        <f t="shared" si="23"/>
        <v>1</v>
      </c>
      <c r="G33" s="15">
        <v>143.64599999999999</v>
      </c>
      <c r="H33" s="15">
        <f t="shared" si="21"/>
        <v>59.566979633999992</v>
      </c>
      <c r="I33" s="15">
        <v>99.746928100000005</v>
      </c>
      <c r="J33" s="15">
        <v>144.61001449391028</v>
      </c>
      <c r="K33" s="15">
        <f t="shared" si="2"/>
        <v>144.24404718264029</v>
      </c>
      <c r="L33" s="95">
        <v>-2.1974216853829099E-3</v>
      </c>
      <c r="M33" s="15">
        <f t="shared" si="3"/>
        <v>-0.31696499726652938</v>
      </c>
      <c r="N33" s="95">
        <f t="shared" si="8"/>
        <v>3.3104604437331986E-2</v>
      </c>
      <c r="O33" s="95">
        <f t="shared" si="9"/>
        <v>1.2633050621340125E-2</v>
      </c>
      <c r="P33" s="15">
        <f t="shared" si="12"/>
        <v>146.01217669820824</v>
      </c>
      <c r="Q33" s="15">
        <f t="shared" si="22"/>
        <v>61.897934469826993</v>
      </c>
      <c r="R33" s="15">
        <f t="shared" si="24"/>
        <v>42.392309922044028</v>
      </c>
      <c r="S33" s="153">
        <f t="shared" si="27"/>
        <v>1</v>
      </c>
      <c r="T33" s="161">
        <f t="shared" si="28"/>
        <v>1</v>
      </c>
      <c r="U33" s="145"/>
      <c r="V33" s="15">
        <v>41.4679</v>
      </c>
      <c r="W33" s="157">
        <f t="shared" si="0"/>
        <v>1</v>
      </c>
      <c r="X33" s="15">
        <f t="shared" si="13"/>
        <v>45.480118458333337</v>
      </c>
      <c r="Y33" s="153">
        <f t="shared" si="14"/>
        <v>1</v>
      </c>
      <c r="Z33" s="153">
        <f t="shared" si="4"/>
        <v>1</v>
      </c>
      <c r="AA33" s="15">
        <f t="shared" si="1"/>
        <v>143.64599999999999</v>
      </c>
      <c r="AB33" s="15">
        <f t="shared" si="5"/>
        <v>59.566979633999999</v>
      </c>
      <c r="AC33" s="15">
        <v>99.746992085307767</v>
      </c>
      <c r="AD33" s="15">
        <v>144.5100820074384</v>
      </c>
      <c r="AE33" s="15">
        <f t="shared" si="6"/>
        <v>144.14446006243134</v>
      </c>
      <c r="AF33" s="95">
        <v>-1.8327713251983652E-3</v>
      </c>
      <c r="AG33" s="15">
        <f t="shared" si="7"/>
        <v>-0.26418383308862509</v>
      </c>
      <c r="AH33" s="95">
        <f t="shared" si="10"/>
        <v>3.3039864213110448E-2</v>
      </c>
      <c r="AI33" s="95">
        <f t="shared" si="11"/>
        <v>1.2631123390996812E-2</v>
      </c>
      <c r="AJ33" s="15">
        <f t="shared" si="16"/>
        <v>145.91010609835908</v>
      </c>
      <c r="AK33" s="2">
        <f t="shared" si="15"/>
        <v>62.016803800382696</v>
      </c>
      <c r="AL33" s="160">
        <f t="shared" si="17"/>
        <v>42.50343273589062</v>
      </c>
      <c r="AM33" s="153">
        <f t="shared" si="18"/>
        <v>1</v>
      </c>
      <c r="AN33" s="161">
        <f t="shared" si="19"/>
        <v>1</v>
      </c>
      <c r="AO33" s="145"/>
    </row>
    <row r="34" spans="1:41" x14ac:dyDescent="0.2">
      <c r="A34" s="147" t="s">
        <v>198</v>
      </c>
      <c r="B34" s="15">
        <v>44.511499999999998</v>
      </c>
      <c r="C34" s="157">
        <f t="shared" si="20"/>
        <v>1</v>
      </c>
      <c r="D34" s="15">
        <f t="shared" si="25"/>
        <v>44.22308051666667</v>
      </c>
      <c r="E34" s="153">
        <f t="shared" si="26"/>
        <v>0</v>
      </c>
      <c r="F34" s="153">
        <f t="shared" si="23"/>
        <v>1</v>
      </c>
      <c r="G34" s="15">
        <v>145.53100000000001</v>
      </c>
      <c r="H34" s="15">
        <f t="shared" si="21"/>
        <v>64.778031064999993</v>
      </c>
      <c r="I34" s="15">
        <v>99.062301099999999</v>
      </c>
      <c r="J34" s="15">
        <v>149.14629655585392</v>
      </c>
      <c r="K34" s="15">
        <f t="shared" si="2"/>
        <v>147.74775337365895</v>
      </c>
      <c r="L34" s="95">
        <v>-7.9519264104451672E-3</v>
      </c>
      <c r="M34" s="15">
        <f t="shared" si="3"/>
        <v>-1.1748792621359376</v>
      </c>
      <c r="N34" s="95">
        <f t="shared" si="8"/>
        <v>3.0887116465343922E-2</v>
      </c>
      <c r="O34" s="95">
        <f t="shared" si="9"/>
        <v>-6.8873030595515417E-3</v>
      </c>
      <c r="P34" s="15">
        <f t="shared" si="12"/>
        <v>151.42612576591344</v>
      </c>
      <c r="Q34" s="15">
        <f t="shared" si="22"/>
        <v>64.077337440027861</v>
      </c>
      <c r="R34" s="15">
        <f t="shared" si="24"/>
        <v>42.315906265134004</v>
      </c>
      <c r="S34" s="153">
        <f t="shared" si="27"/>
        <v>1</v>
      </c>
      <c r="T34" s="161">
        <f t="shared" si="28"/>
        <v>1</v>
      </c>
      <c r="U34" s="145"/>
      <c r="V34" s="15">
        <v>44.511499999999998</v>
      </c>
      <c r="W34" s="157">
        <f t="shared" si="0"/>
        <v>1</v>
      </c>
      <c r="X34" s="15">
        <f t="shared" si="13"/>
        <v>44.22308051666667</v>
      </c>
      <c r="Y34" s="153">
        <f t="shared" si="14"/>
        <v>0</v>
      </c>
      <c r="Z34" s="153">
        <f t="shared" si="4"/>
        <v>1</v>
      </c>
      <c r="AA34" s="15">
        <f t="shared" si="1"/>
        <v>145.53100000000001</v>
      </c>
      <c r="AB34" s="15">
        <f t="shared" si="5"/>
        <v>64.778031064999993</v>
      </c>
      <c r="AC34" s="15">
        <v>99.062210372205428</v>
      </c>
      <c r="AD34" s="15">
        <v>149.03119641997847</v>
      </c>
      <c r="AE34" s="15">
        <f t="shared" si="6"/>
        <v>147.63359731777376</v>
      </c>
      <c r="AF34" s="95">
        <v>-7.5482586529504753E-3</v>
      </c>
      <c r="AG34" s="15">
        <f t="shared" si="7"/>
        <v>-1.1143765784200919</v>
      </c>
      <c r="AH34" s="95">
        <f t="shared" si="10"/>
        <v>3.0806379180045695E-2</v>
      </c>
      <c r="AI34" s="95">
        <f t="shared" si="11"/>
        <v>-6.8888604022507849E-3</v>
      </c>
      <c r="AJ34" s="15">
        <f t="shared" si="16"/>
        <v>151.35718351647608</v>
      </c>
      <c r="AK34" s="2">
        <f t="shared" si="15"/>
        <v>64.236177098744562</v>
      </c>
      <c r="AL34" s="160">
        <f t="shared" si="17"/>
        <v>42.440124483257243</v>
      </c>
      <c r="AM34" s="153">
        <f t="shared" si="18"/>
        <v>1</v>
      </c>
      <c r="AN34" s="161">
        <f t="shared" si="19"/>
        <v>1</v>
      </c>
      <c r="AO34" s="145"/>
    </row>
    <row r="35" spans="1:41" x14ac:dyDescent="0.2">
      <c r="A35" s="147" t="s">
        <v>199</v>
      </c>
      <c r="B35" s="15">
        <v>44.387500000000003</v>
      </c>
      <c r="C35" s="157">
        <f t="shared" si="20"/>
        <v>1</v>
      </c>
      <c r="D35" s="15">
        <f t="shared" si="25"/>
        <v>44.507306187499999</v>
      </c>
      <c r="E35" s="153">
        <f t="shared" si="26"/>
        <v>1</v>
      </c>
      <c r="F35" s="153">
        <f t="shared" si="23"/>
        <v>1</v>
      </c>
      <c r="G35" s="15">
        <v>152.26599999999999</v>
      </c>
      <c r="H35" s="15">
        <f t="shared" si="21"/>
        <v>67.587070750000009</v>
      </c>
      <c r="I35" s="15">
        <v>99.540852700000002</v>
      </c>
      <c r="J35" s="15">
        <v>153.55216049311355</v>
      </c>
      <c r="K35" s="15">
        <f t="shared" si="2"/>
        <v>152.84712989411776</v>
      </c>
      <c r="L35" s="95">
        <v>-2.0150778755344424E-3</v>
      </c>
      <c r="M35" s="15">
        <f t="shared" si="3"/>
        <v>-0.30799886978857577</v>
      </c>
      <c r="N35" s="95">
        <f t="shared" si="8"/>
        <v>2.9112636758773291E-2</v>
      </c>
      <c r="O35" s="95">
        <f t="shared" si="9"/>
        <v>4.8191835529420857E-3</v>
      </c>
      <c r="P35" s="15">
        <f t="shared" si="12"/>
        <v>154.26612579771063</v>
      </c>
      <c r="Q35" s="15">
        <f t="shared" si="22"/>
        <v>65.787227620808977</v>
      </c>
      <c r="R35" s="15">
        <f t="shared" si="24"/>
        <v>42.645284102795095</v>
      </c>
      <c r="S35" s="153">
        <f t="shared" si="27"/>
        <v>1</v>
      </c>
      <c r="T35" s="161">
        <f t="shared" si="28"/>
        <v>1</v>
      </c>
      <c r="U35" s="145"/>
      <c r="V35" s="15">
        <v>44.387500000000003</v>
      </c>
      <c r="W35" s="157">
        <f t="shared" si="0"/>
        <v>1</v>
      </c>
      <c r="X35" s="15">
        <f t="shared" si="13"/>
        <v>44.507306187499999</v>
      </c>
      <c r="Y35" s="153">
        <f t="shared" si="14"/>
        <v>1</v>
      </c>
      <c r="Z35" s="153">
        <f t="shared" si="4"/>
        <v>1</v>
      </c>
      <c r="AA35" s="15">
        <f t="shared" si="1"/>
        <v>152.26599999999999</v>
      </c>
      <c r="AB35" s="15">
        <f t="shared" si="5"/>
        <v>67.587070749999995</v>
      </c>
      <c r="AC35" s="15">
        <v>99.54074227919169</v>
      </c>
      <c r="AD35" s="15">
        <v>153.43292242218214</v>
      </c>
      <c r="AE35" s="15">
        <f t="shared" si="6"/>
        <v>152.72826987969646</v>
      </c>
      <c r="AF35" s="95">
        <v>-1.604176073179609E-3</v>
      </c>
      <c r="AG35" s="15">
        <f t="shared" si="7"/>
        <v>-0.245003036239127</v>
      </c>
      <c r="AH35" s="95">
        <f t="shared" si="10"/>
        <v>2.9107828066382346E-2</v>
      </c>
      <c r="AI35" s="95">
        <f t="shared" si="11"/>
        <v>4.8189901173465444E-3</v>
      </c>
      <c r="AJ35" s="15">
        <f t="shared" si="16"/>
        <v>154.24309165075661</v>
      </c>
      <c r="AK35" s="2">
        <f t="shared" si="15"/>
        <v>65.963507302252154</v>
      </c>
      <c r="AL35" s="160">
        <f t="shared" si="17"/>
        <v>42.765939528500482</v>
      </c>
      <c r="AM35" s="153">
        <f t="shared" si="18"/>
        <v>1</v>
      </c>
      <c r="AN35" s="161">
        <f t="shared" si="19"/>
        <v>1</v>
      </c>
      <c r="AO35" s="145"/>
    </row>
    <row r="36" spans="1:41" x14ac:dyDescent="0.2">
      <c r="A36" s="147" t="s">
        <v>200</v>
      </c>
      <c r="B36" s="15">
        <v>41.701999999999998</v>
      </c>
      <c r="C36" s="157">
        <f t="shared" si="20"/>
        <v>1</v>
      </c>
      <c r="D36" s="15">
        <f t="shared" si="25"/>
        <v>45.100264837499999</v>
      </c>
      <c r="E36" s="153">
        <f t="shared" si="26"/>
        <v>1</v>
      </c>
      <c r="F36" s="153">
        <f t="shared" si="23"/>
        <v>1</v>
      </c>
      <c r="G36" s="15">
        <v>157.429</v>
      </c>
      <c r="H36" s="15">
        <f t="shared" si="21"/>
        <v>65.651041579999998</v>
      </c>
      <c r="I36" s="15">
        <v>100</v>
      </c>
      <c r="J36" s="15">
        <v>157.68214535109593</v>
      </c>
      <c r="K36" s="15">
        <f t="shared" si="2"/>
        <v>157.68214535109593</v>
      </c>
      <c r="L36" s="95">
        <v>-8.5087018433255453E-4</v>
      </c>
      <c r="M36" s="15">
        <f t="shared" si="3"/>
        <v>-0.13416703608083966</v>
      </c>
      <c r="N36" s="95">
        <f t="shared" si="8"/>
        <v>2.6540951400911617E-2</v>
      </c>
      <c r="O36" s="95">
        <f t="shared" si="9"/>
        <v>4.602046188909803E-3</v>
      </c>
      <c r="P36" s="15">
        <f t="shared" si="12"/>
        <v>156.82826936277826</v>
      </c>
      <c r="Q36" s="15">
        <f t="shared" si="22"/>
        <v>64.03399641199465</v>
      </c>
      <c r="R36" s="15">
        <f t="shared" si="24"/>
        <v>40.83064658698104</v>
      </c>
      <c r="S36" s="153">
        <f t="shared" si="27"/>
        <v>1</v>
      </c>
      <c r="T36" s="161">
        <f t="shared" si="28"/>
        <v>1</v>
      </c>
      <c r="U36" s="145"/>
      <c r="V36" s="15">
        <v>41.701999999999998</v>
      </c>
      <c r="W36" s="157">
        <f t="shared" si="0"/>
        <v>1</v>
      </c>
      <c r="X36" s="15">
        <f t="shared" si="13"/>
        <v>45.100264837499999</v>
      </c>
      <c r="Y36" s="153">
        <f t="shared" si="14"/>
        <v>1</v>
      </c>
      <c r="Z36" s="153">
        <f t="shared" si="4"/>
        <v>1</v>
      </c>
      <c r="AA36" s="15">
        <f t="shared" si="1"/>
        <v>157.429</v>
      </c>
      <c r="AB36" s="15">
        <f t="shared" si="5"/>
        <v>65.651041579999998</v>
      </c>
      <c r="AC36" s="15">
        <v>100</v>
      </c>
      <c r="AD36" s="15">
        <v>157.56143745320136</v>
      </c>
      <c r="AE36" s="15">
        <f t="shared" si="6"/>
        <v>157.56143745320136</v>
      </c>
      <c r="AF36" s="95">
        <v>-4.4548876508930177E-4</v>
      </c>
      <c r="AG36" s="15">
        <f t="shared" si="7"/>
        <v>-7.019185019672193E-2</v>
      </c>
      <c r="AH36" s="95">
        <f t="shared" si="10"/>
        <v>2.655197722981395E-2</v>
      </c>
      <c r="AI36" s="95">
        <f t="shared" si="11"/>
        <v>4.6031554909360395E-3</v>
      </c>
      <c r="AJ36" s="15">
        <f t="shared" si="16"/>
        <v>156.81683547312937</v>
      </c>
      <c r="AK36" s="2">
        <f t="shared" si="15"/>
        <v>64.221470115144058</v>
      </c>
      <c r="AL36" s="160">
        <f t="shared" si="17"/>
        <v>40.953173121611954</v>
      </c>
      <c r="AM36" s="153">
        <f t="shared" si="18"/>
        <v>1</v>
      </c>
      <c r="AN36" s="161">
        <f t="shared" si="19"/>
        <v>1</v>
      </c>
      <c r="AO36" s="145"/>
    </row>
    <row r="37" spans="1:41" x14ac:dyDescent="0.2">
      <c r="A37" s="147" t="s">
        <v>201</v>
      </c>
      <c r="B37" s="15">
        <v>39.632599999999996</v>
      </c>
      <c r="C37" s="157">
        <f t="shared" si="20"/>
        <v>1</v>
      </c>
      <c r="D37" s="15">
        <f t="shared" si="25"/>
        <v>45.0823886875</v>
      </c>
      <c r="E37" s="153">
        <f t="shared" si="26"/>
        <v>1</v>
      </c>
      <c r="F37" s="153">
        <f t="shared" si="23"/>
        <v>1</v>
      </c>
      <c r="G37" s="15">
        <v>165.76499999999999</v>
      </c>
      <c r="H37" s="15">
        <f t="shared" si="21"/>
        <v>65.696979389999981</v>
      </c>
      <c r="I37" s="15">
        <v>100.84713050000001</v>
      </c>
      <c r="J37" s="15">
        <v>161.50667879879313</v>
      </c>
      <c r="K37" s="15">
        <f t="shared" si="2"/>
        <v>162.87485113443475</v>
      </c>
      <c r="L37" s="95">
        <v>9.4046373062498072E-3</v>
      </c>
      <c r="M37" s="15">
        <f t="shared" si="3"/>
        <v>1.5317789012287888</v>
      </c>
      <c r="N37" s="95">
        <f t="shared" si="8"/>
        <v>2.3965228119609883E-2</v>
      </c>
      <c r="O37" s="95">
        <f t="shared" si="9"/>
        <v>8.4356248590902183E-3</v>
      </c>
      <c r="P37" s="15">
        <f t="shared" si="12"/>
        <v>160.25443917612066</v>
      </c>
      <c r="Q37" s="15">
        <f t="shared" si="22"/>
        <v>66.786592385359356</v>
      </c>
      <c r="R37" s="15">
        <f t="shared" si="24"/>
        <v>41.675346236094249</v>
      </c>
      <c r="S37" s="153">
        <f t="shared" si="27"/>
        <v>1</v>
      </c>
      <c r="T37" s="161">
        <f t="shared" si="28"/>
        <v>1</v>
      </c>
      <c r="U37" s="145"/>
      <c r="V37" s="15">
        <v>39.632599999999996</v>
      </c>
      <c r="W37" s="157">
        <f t="shared" si="0"/>
        <v>1</v>
      </c>
      <c r="X37" s="15">
        <f t="shared" si="13"/>
        <v>45.0823886875</v>
      </c>
      <c r="Y37" s="153">
        <f t="shared" si="14"/>
        <v>1</v>
      </c>
      <c r="Z37" s="153">
        <f t="shared" si="4"/>
        <v>1</v>
      </c>
      <c r="AA37" s="15">
        <f t="shared" si="1"/>
        <v>165.76499999999999</v>
      </c>
      <c r="AB37" s="15">
        <f t="shared" si="5"/>
        <v>65.696979389999981</v>
      </c>
      <c r="AC37" s="15">
        <v>100.84685192453682</v>
      </c>
      <c r="AD37" s="15">
        <v>161.38139143084197</v>
      </c>
      <c r="AE37" s="15">
        <f t="shared" si="6"/>
        <v>162.74805285001835</v>
      </c>
      <c r="AF37" s="95">
        <v>9.8248916745186966E-3</v>
      </c>
      <c r="AG37" s="15">
        <f t="shared" si="7"/>
        <v>1.5989819894902741</v>
      </c>
      <c r="AH37" s="95">
        <f t="shared" si="10"/>
        <v>2.395499318796368E-2</v>
      </c>
      <c r="AI37" s="95">
        <f t="shared" si="11"/>
        <v>8.4328625013858627E-3</v>
      </c>
      <c r="AJ37" s="15">
        <f t="shared" si="16"/>
        <v>160.25351692237197</v>
      </c>
      <c r="AK37" s="2">
        <f t="shared" si="15"/>
        <v>66.980766493054404</v>
      </c>
      <c r="AL37" s="160">
        <f t="shared" si="17"/>
        <v>41.796752907145496</v>
      </c>
      <c r="AM37" s="153">
        <f t="shared" si="18"/>
        <v>1</v>
      </c>
      <c r="AN37" s="161">
        <f t="shared" si="19"/>
        <v>1</v>
      </c>
      <c r="AO37" s="145"/>
    </row>
    <row r="38" spans="1:41" x14ac:dyDescent="0.2">
      <c r="A38" s="147" t="s">
        <v>202</v>
      </c>
      <c r="B38" s="15">
        <v>35.158200000000001</v>
      </c>
      <c r="C38" s="157">
        <f t="shared" si="20"/>
        <v>1</v>
      </c>
      <c r="D38" s="15">
        <f t="shared" si="25"/>
        <v>43.583752604166662</v>
      </c>
      <c r="E38" s="153">
        <f t="shared" si="26"/>
        <v>1</v>
      </c>
      <c r="F38" s="153">
        <f t="shared" si="23"/>
        <v>0</v>
      </c>
      <c r="G38" s="15">
        <v>179.83</v>
      </c>
      <c r="H38" s="15">
        <f t="shared" si="21"/>
        <v>63.224991060000001</v>
      </c>
      <c r="I38" s="15">
        <v>103.86260540000001</v>
      </c>
      <c r="J38" s="15">
        <v>165.17293125775328</v>
      </c>
      <c r="K38" s="15">
        <f t="shared" si="2"/>
        <v>171.55290981985357</v>
      </c>
      <c r="L38" s="95">
        <v>2.557145654090039E-2</v>
      </c>
      <c r="M38" s="15">
        <f t="shared" si="3"/>
        <v>4.3868577779233888</v>
      </c>
      <c r="N38" s="95">
        <f t="shared" si="8"/>
        <v>2.2446496690415429E-2</v>
      </c>
      <c r="O38" s="95">
        <f t="shared" si="9"/>
        <v>2.9463112946627845E-2</v>
      </c>
      <c r="P38" s="15">
        <f t="shared" si="12"/>
        <v>170.67033712334199</v>
      </c>
      <c r="Q38" s="15">
        <f t="shared" si="22"/>
        <v>69.009460703071341</v>
      </c>
      <c r="R38" s="15">
        <f t="shared" si="24"/>
        <v>40.434361275796157</v>
      </c>
      <c r="S38" s="153">
        <f t="shared" si="27"/>
        <v>1</v>
      </c>
      <c r="T38" s="161">
        <f t="shared" si="28"/>
        <v>1</v>
      </c>
      <c r="U38" s="145"/>
      <c r="V38" s="15">
        <v>35.158200000000001</v>
      </c>
      <c r="W38" s="157">
        <f t="shared" si="0"/>
        <v>1</v>
      </c>
      <c r="X38" s="15">
        <f t="shared" si="13"/>
        <v>43.583752604166662</v>
      </c>
      <c r="Y38" s="153">
        <f t="shared" si="14"/>
        <v>1</v>
      </c>
      <c r="Z38" s="153">
        <f t="shared" si="4"/>
        <v>0</v>
      </c>
      <c r="AA38" s="15">
        <f t="shared" si="1"/>
        <v>179.83</v>
      </c>
      <c r="AB38" s="15">
        <f t="shared" si="5"/>
        <v>63.224991060000008</v>
      </c>
      <c r="AC38" s="15">
        <v>103.86228018336348</v>
      </c>
      <c r="AD38" s="15">
        <v>165.03173049291181</v>
      </c>
      <c r="AE38" s="15">
        <f t="shared" si="6"/>
        <v>171.40571831600136</v>
      </c>
      <c r="AF38" s="95">
        <v>2.6048543399747732E-2</v>
      </c>
      <c r="AG38" s="15">
        <f t="shared" si="7"/>
        <v>4.4648692925192961</v>
      </c>
      <c r="AH38" s="95">
        <f t="shared" si="10"/>
        <v>2.2367306969259815E-2</v>
      </c>
      <c r="AI38" s="95">
        <f t="shared" si="11"/>
        <v>2.9462744079726377E-2</v>
      </c>
      <c r="AJ38" s="15">
        <f t="shared" si="16"/>
        <v>170.65690550463248</v>
      </c>
      <c r="AK38" s="2">
        <f t="shared" si="15"/>
        <v>69.218650491812852</v>
      </c>
      <c r="AL38" s="160">
        <f t="shared" si="17"/>
        <v>40.560122830736503</v>
      </c>
      <c r="AM38" s="153">
        <f t="shared" si="18"/>
        <v>1</v>
      </c>
      <c r="AN38" s="161">
        <f t="shared" si="19"/>
        <v>1</v>
      </c>
      <c r="AO38" s="145"/>
    </row>
    <row r="39" spans="1:41" x14ac:dyDescent="0.2">
      <c r="A39" s="147" t="s">
        <v>203</v>
      </c>
      <c r="B39" s="15">
        <v>33.9392</v>
      </c>
      <c r="C39" s="157">
        <f t="shared" si="20"/>
        <v>1</v>
      </c>
      <c r="D39" s="15">
        <f t="shared" si="25"/>
        <v>40.776821250000005</v>
      </c>
      <c r="E39" s="153">
        <f t="shared" si="26"/>
        <v>1</v>
      </c>
      <c r="F39" s="153">
        <f t="shared" si="23"/>
        <v>0</v>
      </c>
      <c r="G39" s="15">
        <v>185.67</v>
      </c>
      <c r="H39" s="15">
        <f t="shared" si="21"/>
        <v>63.014912639999991</v>
      </c>
      <c r="I39" s="15">
        <v>106.92166779999999</v>
      </c>
      <c r="J39" s="15">
        <v>167.71888604669667</v>
      </c>
      <c r="K39" s="15">
        <f t="shared" si="2"/>
        <v>179.32783017670954</v>
      </c>
      <c r="L39" s="95">
        <v>1.8744162743696446E-2</v>
      </c>
      <c r="M39" s="15">
        <f t="shared" si="3"/>
        <v>3.3613500333062021</v>
      </c>
      <c r="N39" s="95">
        <f t="shared" si="8"/>
        <v>1.5296287247177354E-2</v>
      </c>
      <c r="O39" s="95">
        <f t="shared" si="9"/>
        <v>2.9027565933628097E-2</v>
      </c>
      <c r="P39" s="15">
        <f t="shared" si="12"/>
        <v>178.76780738397164</v>
      </c>
      <c r="Q39" s="15">
        <f t="shared" si="22"/>
        <v>72.294899352458373</v>
      </c>
      <c r="R39" s="15">
        <f t="shared" si="24"/>
        <v>40.44067016897381</v>
      </c>
      <c r="S39" s="153">
        <f t="shared" si="27"/>
        <v>1</v>
      </c>
      <c r="T39" s="161">
        <f t="shared" si="28"/>
        <v>1</v>
      </c>
      <c r="U39" s="145"/>
      <c r="V39" s="15">
        <v>33.9392</v>
      </c>
      <c r="W39" s="157">
        <f t="shared" si="0"/>
        <v>1</v>
      </c>
      <c r="X39" s="15">
        <f t="shared" si="13"/>
        <v>40.776821250000005</v>
      </c>
      <c r="Y39" s="153">
        <f t="shared" si="14"/>
        <v>1</v>
      </c>
      <c r="Z39" s="153">
        <f t="shared" si="4"/>
        <v>0</v>
      </c>
      <c r="AA39" s="15">
        <v>185.67</v>
      </c>
      <c r="AB39" s="15">
        <f t="shared" si="5"/>
        <v>63.014912639999991</v>
      </c>
      <c r="AC39" s="15">
        <v>106.92129344956003</v>
      </c>
      <c r="AD39" s="15">
        <v>167.56859021554922</v>
      </c>
      <c r="AE39" s="15">
        <f t="shared" si="6"/>
        <v>179.1665040736581</v>
      </c>
      <c r="AF39" s="95">
        <v>1.9238265873313804E-2</v>
      </c>
      <c r="AG39" s="15">
        <f t="shared" si="7"/>
        <v>3.4468528409611952</v>
      </c>
      <c r="AH39" s="95">
        <f t="shared" si="10"/>
        <v>1.5254999839784844E-2</v>
      </c>
      <c r="AI39" s="95">
        <f t="shared" si="11"/>
        <v>2.902719598674075E-2</v>
      </c>
      <c r="AJ39" s="15">
        <f t="shared" si="16"/>
        <v>178.74428792662454</v>
      </c>
      <c r="AK39" s="2">
        <f t="shared" si="15"/>
        <v>72.525616762970756</v>
      </c>
      <c r="AL39" s="160">
        <f t="shared" si="17"/>
        <v>40.575068218539606</v>
      </c>
      <c r="AM39" s="153">
        <f t="shared" si="18"/>
        <v>1</v>
      </c>
      <c r="AN39" s="161">
        <f t="shared" si="19"/>
        <v>1</v>
      </c>
      <c r="AO39" s="145"/>
    </row>
    <row r="40" spans="1:41" x14ac:dyDescent="0.2">
      <c r="A40" s="147" t="s">
        <v>204</v>
      </c>
      <c r="B40" s="15">
        <v>43.522399999999998</v>
      </c>
      <c r="C40" s="157">
        <f t="shared" si="20"/>
        <v>1</v>
      </c>
      <c r="D40" s="15">
        <f t="shared" si="25"/>
        <v>38.453338641666669</v>
      </c>
      <c r="E40" s="153">
        <f t="shared" si="26"/>
        <v>0</v>
      </c>
      <c r="F40" s="153">
        <f t="shared" si="23"/>
        <v>0</v>
      </c>
      <c r="G40" s="15">
        <v>172.31800000000001</v>
      </c>
      <c r="H40" s="15">
        <f t="shared" si="21"/>
        <v>74.996929231999999</v>
      </c>
      <c r="I40" s="15">
        <v>108.4967777</v>
      </c>
      <c r="J40" s="15">
        <v>168.18322545883754</v>
      </c>
      <c r="K40" s="15">
        <f t="shared" si="2"/>
        <v>182.47338025476478</v>
      </c>
      <c r="L40" s="95">
        <v>-2.9496639630080423E-2</v>
      </c>
      <c r="M40" s="15">
        <f t="shared" si="3"/>
        <v>-5.3823515394574297</v>
      </c>
      <c r="N40" s="95">
        <f t="shared" si="8"/>
        <v>2.7647322955726139E-3</v>
      </c>
      <c r="O40" s="95">
        <f t="shared" si="9"/>
        <v>1.4623984194551909E-2</v>
      </c>
      <c r="P40" s="15">
        <f t="shared" si="12"/>
        <v>185.46766376462878</v>
      </c>
      <c r="Q40" s="15">
        <f t="shared" si="22"/>
        <v>77.362785503772159</v>
      </c>
      <c r="R40" s="15">
        <f t="shared" si="24"/>
        <v>41.712276918498773</v>
      </c>
      <c r="S40" s="153">
        <f t="shared" si="27"/>
        <v>0</v>
      </c>
      <c r="T40" s="161">
        <f t="shared" si="28"/>
        <v>1</v>
      </c>
      <c r="U40" s="145"/>
      <c r="V40" s="15">
        <v>43.522399999999998</v>
      </c>
      <c r="W40" s="157">
        <f t="shared" si="0"/>
        <v>1</v>
      </c>
      <c r="X40" s="15">
        <f t="shared" si="13"/>
        <v>38.453338641666669</v>
      </c>
      <c r="Y40" s="153">
        <f t="shared" si="14"/>
        <v>0</v>
      </c>
      <c r="Z40" s="153">
        <f t="shared" si="4"/>
        <v>0</v>
      </c>
      <c r="AA40" s="15">
        <v>172.31800000000001</v>
      </c>
      <c r="AB40" s="15">
        <f t="shared" si="5"/>
        <v>74.996929231999999</v>
      </c>
      <c r="AC40" s="15">
        <v>108.49662379678841</v>
      </c>
      <c r="AD40" s="15">
        <v>168.06992245128725</v>
      </c>
      <c r="AE40" s="15">
        <f t="shared" si="6"/>
        <v>182.35019147752715</v>
      </c>
      <c r="AF40" s="95">
        <v>-2.9158518781948521E-2</v>
      </c>
      <c r="AG40" s="15">
        <f t="shared" si="7"/>
        <v>-5.3170614830893843</v>
      </c>
      <c r="AH40" s="95">
        <f t="shared" si="10"/>
        <v>2.9873366115600319E-3</v>
      </c>
      <c r="AI40" s="95">
        <f t="shared" si="11"/>
        <v>1.4626066860132347E-2</v>
      </c>
      <c r="AJ40" s="15">
        <f t="shared" si="16"/>
        <v>185.48717234293841</v>
      </c>
      <c r="AK40" s="2">
        <f t="shared" si="15"/>
        <v>77.591589882391105</v>
      </c>
      <c r="AL40" s="160">
        <f t="shared" si="17"/>
        <v>41.831243046249959</v>
      </c>
      <c r="AM40" s="153">
        <f t="shared" si="18"/>
        <v>0</v>
      </c>
      <c r="AN40" s="161">
        <f t="shared" si="19"/>
        <v>1</v>
      </c>
      <c r="AO40" s="145"/>
    </row>
    <row r="41" spans="1:41" x14ac:dyDescent="0.2">
      <c r="A41" s="147" t="s">
        <v>205</v>
      </c>
      <c r="B41" s="15">
        <v>48.663899999999998</v>
      </c>
      <c r="C41" s="157">
        <f t="shared" si="20"/>
        <v>1</v>
      </c>
      <c r="D41" s="15">
        <f t="shared" si="25"/>
        <v>39.842556575000003</v>
      </c>
      <c r="E41" s="153">
        <f t="shared" si="26"/>
        <v>0</v>
      </c>
      <c r="F41" s="153">
        <f t="shared" si="23"/>
        <v>0</v>
      </c>
      <c r="G41" s="15">
        <v>178.72399999999999</v>
      </c>
      <c r="H41" s="15">
        <f t="shared" si="21"/>
        <v>86.974068635999998</v>
      </c>
      <c r="I41" s="15">
        <v>108.8689011</v>
      </c>
      <c r="J41" s="15">
        <v>168.61764492117521</v>
      </c>
      <c r="K41" s="15">
        <f t="shared" si="2"/>
        <v>183.57217708638342</v>
      </c>
      <c r="L41" s="95">
        <v>-1.3997403470592902E-2</v>
      </c>
      <c r="M41" s="15">
        <f t="shared" si="3"/>
        <v>-2.5695338286532379</v>
      </c>
      <c r="N41" s="95">
        <f t="shared" si="8"/>
        <v>2.5796827826525259E-3</v>
      </c>
      <c r="O41" s="95">
        <f t="shared" si="9"/>
        <v>3.4239422304356282E-3</v>
      </c>
      <c r="P41" s="15">
        <f t="shared" si="12"/>
        <v>192.30451699310925</v>
      </c>
      <c r="Q41" s="15">
        <f t="shared" si="22"/>
        <v>82.383533301195541</v>
      </c>
      <c r="R41" s="15">
        <f t="shared" si="24"/>
        <v>42.840144677489583</v>
      </c>
      <c r="S41" s="153">
        <f t="shared" si="27"/>
        <v>0</v>
      </c>
      <c r="T41" s="161">
        <f t="shared" si="28"/>
        <v>1</v>
      </c>
      <c r="U41" s="145"/>
      <c r="V41" s="15">
        <v>48.663899999999998</v>
      </c>
      <c r="W41" s="157">
        <f t="shared" si="0"/>
        <v>1</v>
      </c>
      <c r="X41" s="15">
        <f t="shared" si="13"/>
        <v>39.842556575000003</v>
      </c>
      <c r="Y41" s="153">
        <f t="shared" si="14"/>
        <v>0</v>
      </c>
      <c r="Z41" s="153">
        <f t="shared" si="4"/>
        <v>0</v>
      </c>
      <c r="AA41" s="15">
        <v>178.72399999999999</v>
      </c>
      <c r="AB41" s="15">
        <f t="shared" si="5"/>
        <v>86.974068635999998</v>
      </c>
      <c r="AC41" s="15">
        <v>108.86881377741827</v>
      </c>
      <c r="AD41" s="15">
        <v>168.51408573511483</v>
      </c>
      <c r="AE41" s="15">
        <f t="shared" si="6"/>
        <v>183.45928618768113</v>
      </c>
      <c r="AF41" s="95">
        <v>-1.3679883595009379E-2</v>
      </c>
      <c r="AG41" s="15">
        <f t="shared" si="7"/>
        <v>-2.5097016794709899</v>
      </c>
      <c r="AH41" s="95">
        <f t="shared" si="10"/>
        <v>2.639243284569659E-3</v>
      </c>
      <c r="AI41" s="95">
        <f t="shared" si="11"/>
        <v>3.4245586467172018E-3</v>
      </c>
      <c r="AJ41" s="15">
        <f t="shared" si="16"/>
        <v>192.35125510461444</v>
      </c>
      <c r="AK41" s="2">
        <f t="shared" si="15"/>
        <v>82.594158314400815</v>
      </c>
      <c r="AL41" s="160">
        <f t="shared" si="17"/>
        <v>42.939235446880851</v>
      </c>
      <c r="AM41" s="153">
        <f t="shared" si="18"/>
        <v>0</v>
      </c>
      <c r="AN41" s="161">
        <f t="shared" si="19"/>
        <v>1</v>
      </c>
      <c r="AO41" s="145"/>
    </row>
    <row r="42" spans="1:41" x14ac:dyDescent="0.2">
      <c r="A42" s="147" t="s">
        <v>206</v>
      </c>
      <c r="B42" s="15">
        <v>49.193100000000001</v>
      </c>
      <c r="C42" s="157">
        <f t="shared" si="20"/>
        <v>1</v>
      </c>
      <c r="D42" s="15">
        <f t="shared" si="25"/>
        <v>44.005264199999999</v>
      </c>
      <c r="E42" s="153">
        <f t="shared" si="26"/>
        <v>0</v>
      </c>
      <c r="F42" s="153">
        <f t="shared" si="23"/>
        <v>0</v>
      </c>
      <c r="G42" s="15">
        <v>188.744</v>
      </c>
      <c r="H42" s="15">
        <f t="shared" si="21"/>
        <v>92.849024664000012</v>
      </c>
      <c r="I42" s="15">
        <v>111.81396030000001</v>
      </c>
      <c r="J42" s="15">
        <v>169.2166643991383</v>
      </c>
      <c r="K42" s="15">
        <f t="shared" si="2"/>
        <v>189.20785395223672</v>
      </c>
      <c r="L42" s="95">
        <v>-1.2993255263836793E-3</v>
      </c>
      <c r="M42" s="15">
        <f t="shared" si="3"/>
        <v>-0.24584259443241629</v>
      </c>
      <c r="N42" s="95">
        <f t="shared" si="8"/>
        <v>3.546236064241981E-3</v>
      </c>
      <c r="O42" s="95">
        <f t="shared" si="9"/>
        <v>2.6692005288355247E-2</v>
      </c>
      <c r="P42" s="15">
        <f t="shared" si="12"/>
        <v>195.80637989319953</v>
      </c>
      <c r="Q42" s="15">
        <f t="shared" si="22"/>
        <v>84.651296701456928</v>
      </c>
      <c r="R42" s="15">
        <f t="shared" si="24"/>
        <v>43.232144298683764</v>
      </c>
      <c r="S42" s="153">
        <f t="shared" si="27"/>
        <v>1</v>
      </c>
      <c r="T42" s="161">
        <f t="shared" si="28"/>
        <v>1</v>
      </c>
      <c r="U42" s="145"/>
      <c r="V42" s="15">
        <v>49.193100000000001</v>
      </c>
      <c r="W42" s="157">
        <f t="shared" si="0"/>
        <v>1</v>
      </c>
      <c r="X42" s="15">
        <f t="shared" si="13"/>
        <v>44.005264199999999</v>
      </c>
      <c r="Y42" s="153">
        <f t="shared" si="14"/>
        <v>0</v>
      </c>
      <c r="Z42" s="153">
        <f t="shared" si="4"/>
        <v>0</v>
      </c>
      <c r="AA42" s="15">
        <v>188.744</v>
      </c>
      <c r="AB42" s="15">
        <f t="shared" si="5"/>
        <v>92.849024663999998</v>
      </c>
      <c r="AC42" s="15">
        <v>111.81388943758324</v>
      </c>
      <c r="AD42" s="15">
        <v>169.13771427573849</v>
      </c>
      <c r="AE42" s="15">
        <f t="shared" si="6"/>
        <v>189.1194568375297</v>
      </c>
      <c r="AF42" s="95">
        <v>-1.0522033386637373E-3</v>
      </c>
      <c r="AG42" s="15">
        <f t="shared" si="7"/>
        <v>-0.1989921238907213</v>
      </c>
      <c r="AH42" s="95">
        <f t="shared" si="10"/>
        <v>3.6939192962872625E-3</v>
      </c>
      <c r="AI42" s="95">
        <f t="shared" si="11"/>
        <v>2.6692173624928373E-2</v>
      </c>
      <c r="AJ42" s="15">
        <f t="shared" si="16"/>
        <v>195.89085975714013</v>
      </c>
      <c r="AK42" s="2">
        <f t="shared" si="15"/>
        <v>84.823269377548897</v>
      </c>
      <c r="AL42" s="160">
        <f t="shared" si="17"/>
        <v>43.301290056468353</v>
      </c>
      <c r="AM42" s="153">
        <f t="shared" si="18"/>
        <v>1</v>
      </c>
      <c r="AN42" s="161">
        <f t="shared" si="19"/>
        <v>1</v>
      </c>
      <c r="AO42" s="145"/>
    </row>
    <row r="43" spans="1:41" x14ac:dyDescent="0.2">
      <c r="A43" s="147" t="s">
        <v>231</v>
      </c>
      <c r="B43" s="15">
        <v>53.623600000000003</v>
      </c>
      <c r="C43" s="157">
        <f t="shared" si="20"/>
        <v>1</v>
      </c>
      <c r="D43" s="15">
        <f t="shared" si="25"/>
        <v>48.458377483333336</v>
      </c>
      <c r="E43" s="153">
        <f t="shared" si="26"/>
        <v>0</v>
      </c>
      <c r="F43" s="153">
        <f t="shared" si="23"/>
        <v>0</v>
      </c>
      <c r="G43" s="15">
        <v>192.35</v>
      </c>
      <c r="H43" s="15">
        <f t="shared" si="21"/>
        <v>103.1449946</v>
      </c>
      <c r="I43" s="15">
        <v>115.11058130000001</v>
      </c>
      <c r="J43" s="15">
        <v>169.61235731265387</v>
      </c>
      <c r="K43" s="15">
        <f t="shared" si="2"/>
        <v>195.24177045922895</v>
      </c>
      <c r="L43" s="95">
        <v>-7.8499508927420587E-3</v>
      </c>
      <c r="M43" s="15">
        <f t="shared" si="3"/>
        <v>-1.5326383103169643</v>
      </c>
      <c r="N43" s="95">
        <f t="shared" si="8"/>
        <v>2.3356505378462344E-3</v>
      </c>
      <c r="O43" s="95">
        <f t="shared" si="9"/>
        <v>2.9056821425658796E-2</v>
      </c>
      <c r="P43" s="15">
        <f t="shared" si="12"/>
        <v>184.23159157302226</v>
      </c>
      <c r="Q43" s="15">
        <f t="shared" si="22"/>
        <v>98.796979866597383</v>
      </c>
      <c r="R43" s="15">
        <f t="shared" si="24"/>
        <v>53.626513793340422</v>
      </c>
      <c r="S43" s="153">
        <f t="shared" si="27"/>
        <v>0</v>
      </c>
      <c r="T43" s="161">
        <f t="shared" si="28"/>
        <v>1</v>
      </c>
      <c r="U43" s="145"/>
      <c r="V43" s="15">
        <v>53.623600000000003</v>
      </c>
      <c r="W43" s="157">
        <f t="shared" si="0"/>
        <v>1</v>
      </c>
      <c r="X43" s="15">
        <f t="shared" si="13"/>
        <v>48.458377483333336</v>
      </c>
      <c r="Y43" s="153">
        <f t="shared" si="14"/>
        <v>0</v>
      </c>
      <c r="Z43" s="153">
        <f>IF(V45&lt;X45,1,0)</f>
        <v>0</v>
      </c>
      <c r="AA43" s="15">
        <v>192.35</v>
      </c>
      <c r="AB43" s="15">
        <f t="shared" si="5"/>
        <v>103.1449946</v>
      </c>
      <c r="AC43" s="15">
        <v>115.11050481470953</v>
      </c>
      <c r="AD43" s="15">
        <v>169.61251945430723</v>
      </c>
      <c r="AE43" s="15">
        <f t="shared" si="6"/>
        <v>195.24182737280046</v>
      </c>
      <c r="AF43" s="95">
        <v>-7.8501032704314591E-3</v>
      </c>
      <c r="AG43" s="15">
        <f t="shared" si="7"/>
        <v>-1.5326685075842352</v>
      </c>
      <c r="AH43" s="95">
        <f t="shared" si="10"/>
        <v>2.8032777086135496E-3</v>
      </c>
      <c r="AI43" s="95">
        <f t="shared" si="11"/>
        <v>2.9056790727933546E-2</v>
      </c>
      <c r="AJ43" s="15">
        <f t="shared" si="16"/>
        <v>184.3557563296342</v>
      </c>
      <c r="AK43" s="2">
        <f t="shared" si="15"/>
        <v>98.903632289054059</v>
      </c>
      <c r="AL43" s="160">
        <f t="shared" si="17"/>
        <v>53.648247420173355</v>
      </c>
      <c r="AM43" s="153">
        <f t="shared" si="18"/>
        <v>0</v>
      </c>
      <c r="AN43" s="161">
        <f t="shared" si="19"/>
        <v>1</v>
      </c>
      <c r="AO43" s="145"/>
    </row>
    <row r="44" spans="1:41" x14ac:dyDescent="0.2">
      <c r="A44" s="147" t="s">
        <v>232</v>
      </c>
      <c r="B44" s="15">
        <v>57.165599999999998</v>
      </c>
      <c r="C44" s="157">
        <f t="shared" si="20"/>
        <v>1</v>
      </c>
      <c r="D44" s="15">
        <f t="shared" si="25"/>
        <v>51.48996800416667</v>
      </c>
      <c r="E44" s="153">
        <f t="shared" si="26"/>
        <v>0</v>
      </c>
      <c r="F44" s="153">
        <f t="shared" si="23"/>
        <v>1</v>
      </c>
      <c r="G44" s="15">
        <v>194.98349999999999</v>
      </c>
      <c r="H44" s="15">
        <f t="shared" si="21"/>
        <v>111.46348767599999</v>
      </c>
      <c r="I44" s="15">
        <v>118.4069219</v>
      </c>
      <c r="J44" s="15">
        <v>169.44324341743075</v>
      </c>
      <c r="K44" s="15">
        <f t="shared" si="2"/>
        <v>200.63252889810414</v>
      </c>
      <c r="L44" s="95">
        <v>-1.4922676420971901E-2</v>
      </c>
      <c r="M44" s="15">
        <f t="shared" si="3"/>
        <v>-2.9939743082677022</v>
      </c>
      <c r="N44" s="95">
        <f t="shared" si="8"/>
        <v>-9.9755856492578232E-4</v>
      </c>
      <c r="O44" s="95">
        <f t="shared" si="9"/>
        <v>2.8233939867873481E-2</v>
      </c>
      <c r="P44" s="15">
        <f t="shared" si="12"/>
        <v>195.10637508873887</v>
      </c>
      <c r="Q44" s="15">
        <f t="shared" si="22"/>
        <v>106.6910324629829</v>
      </c>
      <c r="R44" s="15">
        <f t="shared" si="24"/>
        <v>54.683519395231116</v>
      </c>
      <c r="S44" s="153">
        <f t="shared" si="27"/>
        <v>0</v>
      </c>
      <c r="T44" s="161">
        <f t="shared" si="28"/>
        <v>1</v>
      </c>
      <c r="U44" s="145"/>
      <c r="V44" s="94">
        <v>56.9</v>
      </c>
      <c r="W44" s="157">
        <f t="shared" si="0"/>
        <v>1</v>
      </c>
      <c r="X44" s="15">
        <f>60+0.95/3*(V43-60)+((0.95^2)/3)*(V42-60)+((0.95^3)/3)*(V41-60)</f>
        <v>51.48996800416667</v>
      </c>
      <c r="Y44" s="153">
        <f t="shared" si="14"/>
        <v>0</v>
      </c>
      <c r="Z44" s="153">
        <f>IF(V46&lt;X46,1,0)</f>
        <v>0</v>
      </c>
      <c r="AA44" s="15">
        <v>193.44300000000001</v>
      </c>
      <c r="AB44" s="15">
        <f t="shared" si="5"/>
        <v>110.069067</v>
      </c>
      <c r="AC44" s="15">
        <v>117.38461827061187</v>
      </c>
      <c r="AD44" s="15">
        <v>169.86093598486713</v>
      </c>
      <c r="AE44" s="15">
        <f t="shared" si="6"/>
        <v>199.39061129672467</v>
      </c>
      <c r="AF44" s="95">
        <v>-1.5809340102644297E-2</v>
      </c>
      <c r="AG44" s="15">
        <f t="shared" si="7"/>
        <v>-3.1522339872640703</v>
      </c>
      <c r="AH44" s="95">
        <f t="shared" si="10"/>
        <v>1.4635404973262212E-3</v>
      </c>
      <c r="AI44" s="95">
        <f t="shared" si="11"/>
        <v>1.9563300553024021E-2</v>
      </c>
      <c r="AJ44" s="15">
        <f t="shared" si="16"/>
        <v>194.05679099184502</v>
      </c>
      <c r="AK44" s="2">
        <f t="shared" si="15"/>
        <v>105.18517238126098</v>
      </c>
      <c r="AL44" s="160">
        <f t="shared" si="17"/>
        <v>54.203293707810133</v>
      </c>
      <c r="AM44" s="153">
        <f t="shared" si="18"/>
        <v>0</v>
      </c>
      <c r="AN44" s="161">
        <f t="shared" si="19"/>
        <v>1</v>
      </c>
      <c r="AO44" s="145"/>
    </row>
    <row r="45" spans="1:41" x14ac:dyDescent="0.2">
      <c r="A45" s="147">
        <v>2014</v>
      </c>
      <c r="B45" s="15">
        <v>60.422699999999999</v>
      </c>
      <c r="C45" s="157">
        <f t="shared" si="20"/>
        <v>0</v>
      </c>
      <c r="D45" s="15">
        <f t="shared" si="25"/>
        <v>54.095684370833339</v>
      </c>
      <c r="E45" s="153">
        <f t="shared" si="26"/>
        <v>0</v>
      </c>
      <c r="F45" s="153"/>
      <c r="G45" s="15">
        <v>199.6995</v>
      </c>
      <c r="H45" s="15">
        <f t="shared" si="21"/>
        <v>120.66382978649999</v>
      </c>
      <c r="I45" s="15">
        <v>120.9745925</v>
      </c>
      <c r="J45" s="15">
        <v>169.48887712735126</v>
      </c>
      <c r="K45" s="15">
        <f t="shared" si="2"/>
        <v>205.03847843763887</v>
      </c>
      <c r="L45" s="95">
        <v>-1.3800677491884182E-2</v>
      </c>
      <c r="M45" s="15">
        <f t="shared" si="3"/>
        <v>-2.8296699143445028</v>
      </c>
      <c r="N45" s="95">
        <f t="shared" si="8"/>
        <v>2.6927934787046581E-4</v>
      </c>
      <c r="O45" s="95">
        <f t="shared" si="9"/>
        <v>2.1453361474836896E-2</v>
      </c>
      <c r="P45" s="15">
        <f t="shared" si="12"/>
        <v>204.32412380326355</v>
      </c>
      <c r="Q45" s="15">
        <f t="shared" si="22"/>
        <v>113.30754725357082</v>
      </c>
      <c r="R45" s="15">
        <f t="shared" si="24"/>
        <v>55.454806385305069</v>
      </c>
      <c r="S45" s="153">
        <f t="shared" si="27"/>
        <v>0</v>
      </c>
      <c r="T45" s="161">
        <f t="shared" si="28"/>
        <v>0</v>
      </c>
      <c r="U45" s="145"/>
      <c r="V45" s="94">
        <v>59.8</v>
      </c>
      <c r="W45" s="157">
        <f t="shared" si="0"/>
        <v>1</v>
      </c>
      <c r="X45" s="15">
        <f>60+0.95/3*(V44-60)+((0.95^2)/3)*(V43-60)+((0.95^3)/3)*(V42-60)</f>
        <v>54.011577704166669</v>
      </c>
      <c r="Y45" s="153">
        <f t="shared" si="14"/>
        <v>0</v>
      </c>
      <c r="Z45" s="153">
        <f>IF(V47&lt;X47,1,0)</f>
        <v>0</v>
      </c>
      <c r="AA45" s="15">
        <v>197.44523886000459</v>
      </c>
      <c r="AB45" s="15">
        <f t="shared" si="5"/>
        <v>118.07225283828274</v>
      </c>
      <c r="AC45" s="15">
        <v>119.2503717960759</v>
      </c>
      <c r="AD45" s="15">
        <v>170.190844843512</v>
      </c>
      <c r="AE45" s="15">
        <f t="shared" si="6"/>
        <v>202.95321523877072</v>
      </c>
      <c r="AF45" s="95">
        <v>-1.4383745915587606E-2</v>
      </c>
      <c r="AG45" s="15">
        <f t="shared" si="7"/>
        <v>-2.9192274807460405</v>
      </c>
      <c r="AH45" s="95">
        <f t="shared" si="10"/>
        <v>1.9403454459103742E-3</v>
      </c>
      <c r="AI45" s="95">
        <f t="shared" si="11"/>
        <v>1.5769368581709742E-2</v>
      </c>
      <c r="AJ45" s="15">
        <f t="shared" si="16"/>
        <v>202.40188685557362</v>
      </c>
      <c r="AK45" s="2">
        <f t="shared" si="15"/>
        <v>110.46812286268839</v>
      </c>
      <c r="AL45" s="160">
        <f t="shared" si="17"/>
        <v>54.578603282248196</v>
      </c>
      <c r="AM45" s="153">
        <f t="shared" si="18"/>
        <v>0</v>
      </c>
      <c r="AN45" s="161">
        <f t="shared" si="19"/>
        <v>1</v>
      </c>
      <c r="AO45" s="145"/>
    </row>
    <row r="46" spans="1:41" x14ac:dyDescent="0.2">
      <c r="A46" s="92">
        <v>2015</v>
      </c>
      <c r="B46" s="15"/>
      <c r="C46" s="157">
        <f t="shared" si="20"/>
        <v>1</v>
      </c>
      <c r="D46" s="15">
        <f t="shared" si="25"/>
        <v>57.458851016666664</v>
      </c>
      <c r="E46" s="153">
        <f t="shared" si="26"/>
        <v>1</v>
      </c>
      <c r="F46" s="153"/>
      <c r="G46" s="15">
        <v>206.1919</v>
      </c>
      <c r="H46" s="15">
        <f t="shared" si="21"/>
        <v>0</v>
      </c>
      <c r="I46" s="15">
        <v>123.35204830000001</v>
      </c>
      <c r="J46" s="15">
        <v>169.95175549397189</v>
      </c>
      <c r="K46" s="15">
        <f t="shared" si="2"/>
        <v>209.63897152362213</v>
      </c>
      <c r="L46" s="95">
        <v>-8.7146260225457912E-3</v>
      </c>
      <c r="M46" s="15">
        <f t="shared" si="3"/>
        <v>-1.8269252365794935</v>
      </c>
      <c r="N46" s="95">
        <f t="shared" si="8"/>
        <v>2.7273025622198688E-3</v>
      </c>
      <c r="O46" s="95">
        <f>LN(I46)-LN(I45)</f>
        <v>1.946190422218308E-2</v>
      </c>
      <c r="P46" s="15">
        <f t="shared" si="12"/>
        <v>206.36687589326445</v>
      </c>
      <c r="Q46" s="15">
        <f t="shared" si="22"/>
        <v>-7.6505694591916988</v>
      </c>
      <c r="R46" s="15">
        <f>Q46/P46*100</f>
        <v>-3.707266210275272</v>
      </c>
      <c r="S46" s="153">
        <f t="shared" si="27"/>
        <v>1</v>
      </c>
      <c r="T46" s="161"/>
      <c r="U46" s="145"/>
      <c r="V46" s="94">
        <v>61</v>
      </c>
      <c r="W46" s="157">
        <f t="shared" si="0"/>
        <v>0</v>
      </c>
      <c r="X46" s="15">
        <f>60+0.95/3*(V45-60)+((0.95^2)/3)*(V44-60)+((0.95^3)/3)*(V43-60)</f>
        <v>57.181761350000002</v>
      </c>
      <c r="Y46" s="153">
        <f t="shared" si="14"/>
        <v>0</v>
      </c>
      <c r="Z46" s="153">
        <f t="shared" si="4"/>
        <v>0</v>
      </c>
      <c r="AA46" s="15">
        <v>202.97995995596074</v>
      </c>
      <c r="AB46" s="15">
        <f t="shared" si="5"/>
        <v>123.81777557313605</v>
      </c>
      <c r="AC46" s="15">
        <v>120.95923061522409</v>
      </c>
      <c r="AD46" s="15">
        <v>171.19323356637804</v>
      </c>
      <c r="AE46" s="15">
        <f t="shared" si="6"/>
        <v>207.07401818721442</v>
      </c>
      <c r="AF46" s="95">
        <v>-1.0478624414400006E-2</v>
      </c>
      <c r="AG46" s="15">
        <f t="shared" si="7"/>
        <v>-2.1698508625644561</v>
      </c>
      <c r="AH46" s="95">
        <f t="shared" si="10"/>
        <v>5.8725152518412926E-3</v>
      </c>
      <c r="AI46" s="95">
        <f t="shared" si="11"/>
        <v>1.4228304206040931E-2</v>
      </c>
      <c r="AJ46" s="15">
        <f t="shared" si="16"/>
        <v>203.91875591221665</v>
      </c>
      <c r="AK46" s="2">
        <f t="shared" si="15"/>
        <v>115.57646324256147</v>
      </c>
      <c r="AL46" s="160">
        <f t="shared" si="17"/>
        <v>56.677701237209909</v>
      </c>
      <c r="AM46" s="153">
        <f>IF(AL46&lt;X46,1,0)</f>
        <v>1</v>
      </c>
      <c r="AN46" s="161">
        <f t="shared" si="19"/>
        <v>1</v>
      </c>
      <c r="AO46" s="145"/>
    </row>
    <row r="47" spans="1:41" x14ac:dyDescent="0.2">
      <c r="A47" s="147">
        <v>2016</v>
      </c>
      <c r="B47" s="140"/>
      <c r="C47" s="157"/>
      <c r="D47" s="15">
        <f t="shared" si="25"/>
        <v>40.317114349999997</v>
      </c>
      <c r="E47" s="153"/>
      <c r="F47" s="153"/>
      <c r="G47" s="140"/>
      <c r="H47" s="140"/>
      <c r="I47" s="140"/>
      <c r="J47" s="140"/>
      <c r="K47" s="140"/>
      <c r="L47" s="140"/>
      <c r="M47" s="140"/>
      <c r="N47" s="140"/>
      <c r="O47" s="140"/>
      <c r="P47" s="140"/>
      <c r="Q47" s="140"/>
      <c r="R47" s="140"/>
      <c r="S47" s="153"/>
      <c r="T47" s="154"/>
      <c r="U47" s="145"/>
      <c r="V47" s="94">
        <v>61.4</v>
      </c>
      <c r="W47" s="157">
        <f t="shared" si="0"/>
        <v>0</v>
      </c>
      <c r="X47" s="15">
        <f t="shared" si="13"/>
        <v>59.370545833333338</v>
      </c>
      <c r="Y47" s="153">
        <f t="shared" si="14"/>
        <v>0</v>
      </c>
      <c r="Z47" s="153">
        <f>IF(V49&lt;X49,1,0)</f>
        <v>0</v>
      </c>
      <c r="AA47" s="15">
        <v>209.65142533278367</v>
      </c>
      <c r="AB47" s="15">
        <f t="shared" si="5"/>
        <v>128.72597515432918</v>
      </c>
      <c r="AC47" s="15">
        <v>122.78208743903906</v>
      </c>
      <c r="AD47" s="15">
        <v>172.17605807782977</v>
      </c>
      <c r="AE47" s="15">
        <f t="shared" si="6"/>
        <v>211.40135817821164</v>
      </c>
      <c r="AF47" s="95">
        <v>-4.3872206691073327E-3</v>
      </c>
      <c r="AG47" s="15">
        <f t="shared" si="7"/>
        <v>-0.92746440807681252</v>
      </c>
      <c r="AH47" s="95">
        <f t="shared" si="10"/>
        <v>5.7246074089301047E-3</v>
      </c>
      <c r="AI47" s="95">
        <f t="shared" si="11"/>
        <v>1.4957585556606645E-2</v>
      </c>
      <c r="AJ47" s="15">
        <f t="shared" si="16"/>
        <v>205.01971885514891</v>
      </c>
      <c r="AK47" s="2">
        <f t="shared" si="15"/>
        <v>122.70943240294186</v>
      </c>
      <c r="AL47" s="160">
        <f t="shared" si="17"/>
        <v>59.852502524227368</v>
      </c>
      <c r="AM47" s="153">
        <f t="shared" si="18"/>
        <v>0</v>
      </c>
      <c r="AN47" s="161">
        <f t="shared" si="19"/>
        <v>0</v>
      </c>
      <c r="AO47" s="145"/>
    </row>
    <row r="48" spans="1:41" x14ac:dyDescent="0.2">
      <c r="A48" s="92">
        <v>2017</v>
      </c>
      <c r="B48" s="140"/>
      <c r="C48" s="157"/>
      <c r="D48" s="15"/>
      <c r="E48" s="153"/>
      <c r="F48" s="153"/>
      <c r="G48" s="140"/>
      <c r="H48" s="140"/>
      <c r="I48" s="140"/>
      <c r="J48" s="140"/>
      <c r="K48" s="140"/>
      <c r="L48" s="140"/>
      <c r="M48" s="140"/>
      <c r="N48" s="140"/>
      <c r="O48" s="140"/>
      <c r="P48" s="140"/>
      <c r="Q48" s="140"/>
      <c r="R48" s="140"/>
      <c r="S48" s="158"/>
      <c r="T48" s="154"/>
      <c r="U48" s="145"/>
      <c r="V48" s="94">
        <v>61.3</v>
      </c>
      <c r="W48" s="157">
        <f t="shared" si="0"/>
        <v>0</v>
      </c>
      <c r="X48" s="15">
        <f t="shared" si="13"/>
        <v>60.687008333333338</v>
      </c>
      <c r="Y48" s="153">
        <f t="shared" si="14"/>
        <v>0</v>
      </c>
      <c r="Z48" s="158"/>
      <c r="AA48" s="15">
        <v>216.57531168579294</v>
      </c>
      <c r="AB48" s="15">
        <f t="shared" si="5"/>
        <v>132.76066606339106</v>
      </c>
      <c r="AC48" s="15">
        <v>125.01187913572716</v>
      </c>
      <c r="AD48" s="15">
        <v>173.68263358129593</v>
      </c>
      <c r="AE48" s="15">
        <f t="shared" si="6"/>
        <v>217.12392397239753</v>
      </c>
      <c r="AF48" s="95">
        <v>-1.3391638589646769E-3</v>
      </c>
      <c r="AG48" s="15">
        <f t="shared" si="7"/>
        <v>-0.29076451190042901</v>
      </c>
      <c r="AH48" s="95">
        <f t="shared" si="10"/>
        <v>8.7121420918769843E-3</v>
      </c>
      <c r="AI48" s="95">
        <f t="shared" si="11"/>
        <v>1.7997628559722756E-2</v>
      </c>
      <c r="AJ48" s="15">
        <f t="shared" si="16"/>
        <v>211.13795870375253</v>
      </c>
      <c r="AK48" s="2">
        <f t="shared" si="15"/>
        <v>129.37258628084936</v>
      </c>
      <c r="AL48" s="160">
        <f>AK48/AJ48*100</f>
        <v>61.27395901481264</v>
      </c>
      <c r="AM48" s="153">
        <f t="shared" si="18"/>
        <v>0</v>
      </c>
      <c r="AN48" s="161"/>
      <c r="AO48" s="145"/>
    </row>
    <row r="49" spans="1:41" x14ac:dyDescent="0.2">
      <c r="A49" s="162">
        <v>2018</v>
      </c>
      <c r="B49" s="31"/>
      <c r="C49" s="163"/>
      <c r="D49" s="73"/>
      <c r="E49" s="164"/>
      <c r="F49" s="165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165"/>
      <c r="T49" s="166"/>
      <c r="U49" s="167"/>
      <c r="V49" s="94">
        <v>61.2</v>
      </c>
      <c r="W49" s="157">
        <f t="shared" si="0"/>
        <v>0</v>
      </c>
      <c r="X49" s="15">
        <f>60+0.95/3*(V48-60)+((0.95^2)/3)*(V47-60)+((0.95^3)/3)*(V46-60)</f>
        <v>61.118625000000002</v>
      </c>
      <c r="Y49" s="153">
        <f>IF(V49&lt;X49,1,0)</f>
        <v>0</v>
      </c>
      <c r="Z49" s="158"/>
      <c r="AA49" s="15">
        <v>223.6833878857224</v>
      </c>
      <c r="AB49" s="15">
        <f t="shared" si="5"/>
        <v>136.8942333860621</v>
      </c>
      <c r="AC49" s="15">
        <v>127.39497976799457</v>
      </c>
      <c r="AD49" s="15">
        <v>175.65768940748359</v>
      </c>
      <c r="AE49" s="15">
        <f t="shared" si="6"/>
        <v>223.77907788159047</v>
      </c>
      <c r="AF49" s="95">
        <v>-2.2663288404874737E-4</v>
      </c>
      <c r="AG49" s="15">
        <f t="shared" si="7"/>
        <v>-5.0715697810074102E-2</v>
      </c>
      <c r="AH49" s="95">
        <f t="shared" si="10"/>
        <v>1.1307465758686241E-2</v>
      </c>
      <c r="AI49" s="95">
        <f t="shared" si="11"/>
        <v>1.8883571214126427E-2</v>
      </c>
      <c r="AJ49" s="15">
        <f>AA46*(1+AH49)*(1+AI49)*(1+AH48)*(1+AI48)*(1+AH47)*(1+AI47)</f>
        <v>219.23097752074722</v>
      </c>
      <c r="AK49" s="2">
        <f>AB49+AG49+AG48+AG47</f>
        <v>135.6252887682748</v>
      </c>
      <c r="AL49" s="160">
        <f>AK49/AJ49*100</f>
        <v>61.864108029824258</v>
      </c>
      <c r="AM49" s="153">
        <f>IF(AL49&lt;X49,1,0)</f>
        <v>0</v>
      </c>
      <c r="AN49" s="161"/>
      <c r="AO49" s="145"/>
    </row>
    <row r="50" spans="1:41" ht="15" thickBot="1" x14ac:dyDescent="0.25">
      <c r="A50" s="100">
        <v>2019</v>
      </c>
      <c r="B50" s="103"/>
      <c r="C50" s="155"/>
      <c r="D50" s="103"/>
      <c r="E50" s="155"/>
      <c r="F50" s="155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55"/>
      <c r="T50" s="156"/>
      <c r="U50" s="146"/>
      <c r="V50" s="103"/>
      <c r="W50" s="155"/>
      <c r="X50" s="41">
        <f>60+0.95/3*(V49-60)+((0.95^2)/3)*(V48-60)+((0.95^3)/3)*(V47-60)</f>
        <v>61.171191666666672</v>
      </c>
      <c r="Y50" s="155"/>
      <c r="Z50" s="155"/>
      <c r="AA50" s="103"/>
      <c r="AB50" s="103"/>
      <c r="AC50" s="103"/>
      <c r="AD50" s="103"/>
      <c r="AE50" s="103"/>
      <c r="AF50" s="103"/>
      <c r="AG50" s="103"/>
      <c r="AH50" s="103"/>
      <c r="AI50" s="103"/>
      <c r="AJ50" s="103"/>
      <c r="AK50" s="103"/>
      <c r="AL50" s="103"/>
      <c r="AM50" s="155"/>
      <c r="AN50" s="156"/>
      <c r="AO50" s="145"/>
    </row>
    <row r="51" spans="1:41" ht="15" thickTop="1" x14ac:dyDescent="0.2">
      <c r="A51" s="140"/>
      <c r="B51" s="140"/>
      <c r="C51" s="140"/>
      <c r="D51" s="140"/>
      <c r="E51" s="140"/>
      <c r="F51" s="140"/>
      <c r="G51" s="140"/>
      <c r="H51" s="140"/>
      <c r="I51" s="140"/>
      <c r="J51" s="140"/>
      <c r="K51" s="140"/>
      <c r="L51" s="140"/>
      <c r="M51" s="140"/>
      <c r="N51" s="140"/>
      <c r="O51" s="140"/>
      <c r="P51" s="140"/>
      <c r="Q51" s="140"/>
      <c r="R51" s="140"/>
      <c r="S51" s="140"/>
      <c r="T51" s="140"/>
      <c r="U51" s="140"/>
      <c r="V51" s="140"/>
      <c r="W51" s="140"/>
      <c r="X51" s="140"/>
      <c r="Y51" s="140"/>
      <c r="Z51" s="140"/>
      <c r="AA51" s="140"/>
      <c r="AB51" s="140"/>
      <c r="AC51" s="140"/>
      <c r="AD51" s="140"/>
      <c r="AE51" s="140"/>
      <c r="AF51" s="140"/>
      <c r="AG51" s="140"/>
      <c r="AH51" s="140"/>
      <c r="AI51" s="140"/>
      <c r="AJ51" s="140"/>
      <c r="AK51" s="140"/>
      <c r="AL51" s="140"/>
      <c r="AM51" s="140"/>
      <c r="AN51" s="140"/>
      <c r="AO51" s="140"/>
    </row>
    <row r="52" spans="1:41" x14ac:dyDescent="0.2">
      <c r="A52" s="140"/>
      <c r="B52" s="140"/>
      <c r="C52" s="140"/>
      <c r="D52" s="140"/>
      <c r="E52" s="140"/>
      <c r="F52" s="140"/>
      <c r="G52" s="140"/>
      <c r="H52" s="140"/>
      <c r="I52" s="140"/>
      <c r="J52" s="140"/>
      <c r="K52" s="140"/>
      <c r="L52" s="140"/>
      <c r="M52" s="140"/>
      <c r="N52" s="140"/>
      <c r="O52" s="140"/>
      <c r="P52" s="140"/>
      <c r="Q52" s="140"/>
      <c r="R52" s="140"/>
      <c r="S52" s="140"/>
      <c r="T52" s="140"/>
      <c r="U52" s="140"/>
      <c r="V52" s="140"/>
      <c r="W52" s="140"/>
      <c r="X52" s="140"/>
      <c r="Y52" s="140"/>
      <c r="Z52" s="140"/>
      <c r="AA52" s="140"/>
      <c r="AB52" s="140"/>
      <c r="AC52" s="140"/>
      <c r="AD52" s="140"/>
      <c r="AE52" s="140"/>
      <c r="AF52" s="140"/>
      <c r="AG52" s="140"/>
      <c r="AH52" s="140"/>
      <c r="AI52" s="140"/>
      <c r="AJ52" s="140"/>
      <c r="AK52" s="140"/>
      <c r="AL52" s="140"/>
      <c r="AM52" s="140"/>
      <c r="AN52" s="140"/>
      <c r="AO52" s="140"/>
    </row>
    <row r="53" spans="1:41" x14ac:dyDescent="0.2">
      <c r="A53" s="140" t="s">
        <v>233</v>
      </c>
      <c r="B53" s="140"/>
      <c r="C53" s="140"/>
      <c r="D53" s="140"/>
      <c r="E53" s="140"/>
      <c r="F53" s="140"/>
      <c r="G53" s="140"/>
      <c r="H53" s="140"/>
      <c r="I53" s="140"/>
      <c r="J53" s="140"/>
      <c r="K53" s="140"/>
      <c r="L53" s="140"/>
      <c r="M53" s="140"/>
      <c r="N53" s="140"/>
      <c r="O53" s="140"/>
      <c r="P53" s="140"/>
      <c r="Q53" s="140"/>
      <c r="R53" s="140"/>
      <c r="S53" s="140"/>
      <c r="T53" s="140"/>
      <c r="U53" s="140"/>
      <c r="V53" s="140"/>
      <c r="W53" s="140"/>
      <c r="X53" s="140"/>
      <c r="Y53" s="140"/>
      <c r="Z53" s="140"/>
      <c r="AA53" s="140"/>
      <c r="AB53" s="140"/>
      <c r="AC53" s="140"/>
      <c r="AD53" s="140"/>
      <c r="AE53" s="140"/>
      <c r="AF53" s="140"/>
      <c r="AG53" s="140"/>
      <c r="AH53" s="140"/>
      <c r="AI53" s="140"/>
      <c r="AJ53" s="140"/>
      <c r="AK53" s="140"/>
      <c r="AL53" s="140"/>
      <c r="AM53" s="140"/>
      <c r="AN53" s="140"/>
      <c r="AO53" s="140"/>
    </row>
    <row r="54" spans="1:41" x14ac:dyDescent="0.2">
      <c r="A54" s="140"/>
      <c r="B54" s="140"/>
      <c r="C54" s="140"/>
      <c r="D54" s="140"/>
      <c r="E54" s="140"/>
      <c r="F54" s="140"/>
      <c r="G54" s="140"/>
      <c r="H54" s="140"/>
      <c r="I54" s="140"/>
      <c r="J54" s="140"/>
      <c r="K54" s="140"/>
      <c r="L54" s="140"/>
      <c r="M54" s="140"/>
      <c r="N54" s="140"/>
      <c r="O54" s="140"/>
      <c r="P54" s="140"/>
      <c r="Q54" s="140"/>
      <c r="R54" s="140"/>
      <c r="S54" s="140"/>
      <c r="T54" s="140"/>
      <c r="U54" s="140"/>
      <c r="V54" s="140"/>
      <c r="W54" s="140"/>
      <c r="X54" s="140"/>
      <c r="Y54" s="140"/>
      <c r="Z54" s="140"/>
      <c r="AA54" s="140"/>
      <c r="AB54" s="140"/>
      <c r="AC54" s="140"/>
      <c r="AD54" s="140"/>
      <c r="AE54" s="140"/>
      <c r="AF54" s="140"/>
      <c r="AG54" s="140"/>
      <c r="AH54" s="140"/>
      <c r="AI54" s="140"/>
      <c r="AJ54" s="140"/>
      <c r="AK54" s="140"/>
      <c r="AL54" s="140"/>
      <c r="AM54" s="140"/>
      <c r="AN54" s="140"/>
      <c r="AO54" s="140"/>
    </row>
    <row r="55" spans="1:41" x14ac:dyDescent="0.2">
      <c r="A55" s="140" t="s">
        <v>234</v>
      </c>
      <c r="B55" s="140"/>
      <c r="C55" s="140"/>
      <c r="D55" s="140"/>
      <c r="E55" s="140"/>
      <c r="F55" s="140"/>
      <c r="G55" s="140"/>
      <c r="H55" s="140"/>
      <c r="I55" s="140"/>
      <c r="J55" s="140"/>
      <c r="K55" s="140"/>
      <c r="L55" s="140"/>
      <c r="M55" s="140"/>
      <c r="N55" s="140"/>
      <c r="O55" s="140"/>
      <c r="P55" s="140"/>
      <c r="Q55" s="140"/>
      <c r="R55" s="140"/>
      <c r="S55" s="140"/>
      <c r="T55" s="140"/>
      <c r="U55" s="140"/>
      <c r="V55" s="140"/>
      <c r="W55" s="140"/>
      <c r="X55" s="140"/>
      <c r="Y55" s="140"/>
      <c r="Z55" s="140"/>
      <c r="AA55" s="140"/>
      <c r="AB55" s="140"/>
      <c r="AC55" s="140"/>
      <c r="AD55" s="140"/>
      <c r="AE55" s="140"/>
      <c r="AF55" s="140"/>
      <c r="AG55" s="140"/>
      <c r="AH55" s="140"/>
      <c r="AI55" s="140"/>
      <c r="AJ55" s="140"/>
      <c r="AK55" s="140"/>
      <c r="AL55" s="140"/>
      <c r="AM55" s="140"/>
      <c r="AN55" s="140"/>
      <c r="AO55" s="140"/>
    </row>
    <row r="56" spans="1:41" x14ac:dyDescent="0.2">
      <c r="A56" s="140"/>
      <c r="B56" s="140"/>
      <c r="C56" s="140"/>
      <c r="D56" s="140"/>
      <c r="E56" s="140"/>
      <c r="F56" s="140"/>
      <c r="G56" s="140"/>
      <c r="H56" s="140"/>
      <c r="I56" s="140"/>
      <c r="J56" s="140"/>
      <c r="K56" s="140"/>
      <c r="L56" s="140"/>
      <c r="M56" s="140"/>
      <c r="N56" s="140"/>
      <c r="O56" s="140"/>
      <c r="P56" s="140"/>
      <c r="Q56" s="140"/>
      <c r="R56" s="140"/>
      <c r="S56" s="140"/>
      <c r="T56" s="140"/>
      <c r="U56" s="140"/>
      <c r="V56" s="140"/>
      <c r="W56" s="140"/>
      <c r="X56" s="140"/>
      <c r="Y56" s="140"/>
      <c r="Z56" s="140"/>
      <c r="AA56" s="140"/>
      <c r="AB56" s="140"/>
      <c r="AC56" s="140"/>
      <c r="AD56" s="140"/>
      <c r="AE56" s="140"/>
      <c r="AF56" s="140"/>
      <c r="AG56" s="140"/>
      <c r="AH56" s="140"/>
      <c r="AI56" s="140"/>
      <c r="AJ56" s="140"/>
      <c r="AK56" s="140"/>
      <c r="AL56" s="140"/>
      <c r="AM56" s="140"/>
      <c r="AN56" s="140"/>
      <c r="AO56" s="140"/>
    </row>
    <row r="57" spans="1:41" x14ac:dyDescent="0.2">
      <c r="A57" s="140" t="s">
        <v>235</v>
      </c>
      <c r="B57" s="140"/>
      <c r="C57" s="140"/>
      <c r="D57" s="140"/>
      <c r="E57" s="140"/>
      <c r="F57" s="140"/>
      <c r="G57" s="140"/>
      <c r="H57" s="140"/>
      <c r="I57" s="140"/>
      <c r="J57" s="140"/>
      <c r="K57" s="140"/>
      <c r="L57" s="140"/>
      <c r="M57" s="140"/>
      <c r="N57" s="140"/>
      <c r="O57" s="140"/>
      <c r="P57" s="140"/>
      <c r="Q57" s="140"/>
      <c r="R57" s="140"/>
      <c r="S57" s="140"/>
      <c r="T57" s="140"/>
      <c r="U57" s="140"/>
      <c r="V57" s="140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  <c r="AK57" s="140"/>
      <c r="AL57" s="140"/>
      <c r="AM57" s="140"/>
      <c r="AN57" s="140"/>
      <c r="AO57" s="140"/>
    </row>
    <row r="58" spans="1:41" x14ac:dyDescent="0.2">
      <c r="A58" s="140" t="s">
        <v>236</v>
      </c>
      <c r="B58" s="140"/>
      <c r="C58" s="140"/>
      <c r="D58" s="140"/>
      <c r="E58" s="140"/>
      <c r="F58" s="140"/>
      <c r="G58" s="140"/>
      <c r="H58" s="140"/>
      <c r="I58" s="140"/>
      <c r="J58" s="140"/>
      <c r="K58" s="140"/>
      <c r="L58" s="140"/>
      <c r="M58" s="140"/>
      <c r="N58" s="140"/>
      <c r="O58" s="140"/>
      <c r="P58" s="140"/>
      <c r="Q58" s="140"/>
      <c r="R58" s="140"/>
      <c r="S58" s="140"/>
      <c r="T58" s="140"/>
      <c r="U58" s="140"/>
      <c r="V58" s="140"/>
      <c r="W58" s="140"/>
      <c r="X58" s="140"/>
      <c r="Y58" s="140"/>
      <c r="Z58" s="140"/>
      <c r="AA58" s="140"/>
      <c r="AB58" s="140"/>
      <c r="AC58" s="140"/>
      <c r="AD58" s="140"/>
      <c r="AE58" s="140"/>
      <c r="AF58" s="140"/>
      <c r="AG58" s="140"/>
      <c r="AH58" s="140"/>
      <c r="AI58" s="140"/>
      <c r="AJ58" s="140"/>
      <c r="AK58" s="140"/>
      <c r="AL58" s="140"/>
      <c r="AM58" s="140"/>
      <c r="AN58" s="140"/>
      <c r="AO58" s="140"/>
    </row>
    <row r="59" spans="1:41" x14ac:dyDescent="0.2">
      <c r="A59" s="140"/>
      <c r="B59" s="140" t="s">
        <v>237</v>
      </c>
      <c r="C59" s="140"/>
      <c r="D59" s="140"/>
      <c r="E59" s="140"/>
      <c r="F59" s="140"/>
      <c r="G59" s="140"/>
      <c r="H59" s="140"/>
      <c r="I59" s="140"/>
      <c r="J59" s="140"/>
      <c r="K59" s="140"/>
      <c r="L59" s="140"/>
      <c r="M59" s="140"/>
      <c r="N59" s="140"/>
      <c r="O59" s="140"/>
      <c r="P59" s="140"/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140"/>
      <c r="AD59" s="94"/>
      <c r="AE59" s="140"/>
      <c r="AF59" s="140"/>
      <c r="AG59" s="140"/>
      <c r="AH59" s="140"/>
      <c r="AI59" s="140"/>
      <c r="AJ59" s="140"/>
      <c r="AK59" s="140"/>
      <c r="AL59" s="140"/>
      <c r="AM59" s="140"/>
      <c r="AN59" s="140"/>
      <c r="AO59" s="140"/>
    </row>
    <row r="60" spans="1:41" x14ac:dyDescent="0.2">
      <c r="A60" s="140"/>
      <c r="B60" s="140" t="s">
        <v>238</v>
      </c>
      <c r="C60" s="129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Q60" s="140"/>
      <c r="R60" s="140"/>
      <c r="S60" s="140"/>
      <c r="T60" s="140"/>
      <c r="U60" s="140"/>
      <c r="V60" s="140"/>
      <c r="W60" s="140"/>
      <c r="X60" s="140"/>
      <c r="Y60" s="140"/>
      <c r="Z60" s="140"/>
      <c r="AA60" s="140"/>
      <c r="AB60" s="140"/>
      <c r="AC60" s="140"/>
      <c r="AD60" s="140"/>
      <c r="AE60" s="140"/>
      <c r="AF60" s="140"/>
      <c r="AG60" s="140"/>
      <c r="AH60" s="140"/>
      <c r="AI60" s="140"/>
      <c r="AJ60" s="140"/>
      <c r="AK60" s="140"/>
      <c r="AL60" s="140"/>
      <c r="AM60" s="140"/>
      <c r="AN60" s="140"/>
      <c r="AO60" s="140"/>
    </row>
    <row r="61" spans="1:41" x14ac:dyDescent="0.2">
      <c r="A61" s="140"/>
      <c r="B61" s="140"/>
      <c r="C61" s="129" t="s">
        <v>239</v>
      </c>
      <c r="D61" s="140"/>
      <c r="E61" s="140"/>
      <c r="F61" s="140"/>
      <c r="G61" s="140"/>
      <c r="H61" s="140"/>
      <c r="I61" s="140"/>
      <c r="J61" s="140"/>
      <c r="K61" s="140"/>
      <c r="L61" s="140"/>
      <c r="M61" s="140"/>
      <c r="N61" s="140"/>
      <c r="O61" s="140"/>
      <c r="P61" s="140"/>
      <c r="Q61" s="140"/>
      <c r="R61" s="140"/>
      <c r="S61" s="140"/>
      <c r="T61" s="140"/>
      <c r="U61" s="140"/>
      <c r="V61" s="140"/>
      <c r="W61" s="140"/>
      <c r="X61" s="140"/>
      <c r="Y61" s="140"/>
      <c r="Z61" s="140"/>
      <c r="AA61" s="140"/>
      <c r="AB61" s="140"/>
      <c r="AC61" s="140"/>
      <c r="AD61" s="140"/>
      <c r="AE61" s="140"/>
      <c r="AF61" s="140"/>
      <c r="AG61" s="140"/>
      <c r="AH61" s="140"/>
      <c r="AI61" s="140"/>
      <c r="AJ61" s="140"/>
      <c r="AK61" s="140"/>
      <c r="AL61" s="140"/>
      <c r="AM61" s="140"/>
      <c r="AN61" s="140"/>
      <c r="AO61" s="140"/>
    </row>
    <row r="62" spans="1:41" x14ac:dyDescent="0.2">
      <c r="A62" s="140"/>
      <c r="B62" s="140" t="s">
        <v>240</v>
      </c>
      <c r="C62" s="129"/>
      <c r="D62" s="140"/>
      <c r="E62" s="140"/>
      <c r="F62" s="140"/>
      <c r="G62" s="140"/>
      <c r="H62" s="140"/>
      <c r="I62" s="140"/>
      <c r="J62" s="140"/>
      <c r="K62" s="140"/>
      <c r="L62" s="140"/>
      <c r="M62" s="140"/>
      <c r="N62" s="140"/>
      <c r="O62" s="140"/>
      <c r="P62" s="140"/>
      <c r="Q62" s="140"/>
      <c r="R62" s="140"/>
      <c r="S62" s="140"/>
      <c r="T62" s="140"/>
      <c r="U62" s="140"/>
      <c r="V62" s="140"/>
      <c r="W62" s="140"/>
      <c r="X62" s="140"/>
      <c r="Y62" s="140"/>
      <c r="Z62" s="140"/>
      <c r="AA62" s="140"/>
      <c r="AB62" s="140"/>
      <c r="AC62" s="140"/>
      <c r="AD62" s="140"/>
      <c r="AE62" s="140"/>
      <c r="AF62" s="140"/>
      <c r="AG62" s="140"/>
      <c r="AH62" s="140"/>
      <c r="AI62" s="140"/>
      <c r="AJ62" s="140"/>
      <c r="AK62" s="140"/>
      <c r="AL62" s="140"/>
      <c r="AM62" s="140"/>
      <c r="AN62" s="140"/>
      <c r="AO62" s="140"/>
    </row>
    <row r="63" spans="1:41" x14ac:dyDescent="0.2">
      <c r="A63" s="140"/>
      <c r="B63" s="140"/>
      <c r="C63" s="129"/>
      <c r="D63" s="140"/>
      <c r="E63" s="140"/>
      <c r="F63" s="140"/>
      <c r="G63" s="140"/>
      <c r="H63" s="140"/>
      <c r="I63" s="140"/>
      <c r="J63" s="140"/>
      <c r="K63" s="140"/>
      <c r="L63" s="140"/>
      <c r="M63" s="140"/>
      <c r="N63" s="140"/>
      <c r="O63" s="140"/>
      <c r="P63" s="140"/>
      <c r="Q63" s="140"/>
      <c r="R63" s="140"/>
      <c r="S63" s="140"/>
      <c r="T63" s="140"/>
      <c r="U63" s="140"/>
      <c r="V63" s="140"/>
      <c r="W63" s="140"/>
      <c r="X63" s="140"/>
      <c r="Y63" s="140"/>
      <c r="Z63" s="140"/>
      <c r="AA63" s="140"/>
      <c r="AB63" s="140"/>
      <c r="AC63" s="140"/>
      <c r="AD63" s="140"/>
      <c r="AE63" s="140"/>
      <c r="AF63" s="140"/>
      <c r="AG63" s="140"/>
      <c r="AH63" s="140"/>
      <c r="AI63" s="140"/>
      <c r="AJ63" s="140"/>
      <c r="AK63" s="140"/>
      <c r="AL63" s="140"/>
      <c r="AM63" s="140"/>
      <c r="AN63" s="140"/>
      <c r="AO63" s="140"/>
    </row>
    <row r="64" spans="1:41" x14ac:dyDescent="0.2">
      <c r="A64" s="140"/>
      <c r="B64" s="140"/>
      <c r="C64" s="129"/>
      <c r="D64" s="140"/>
      <c r="E64" s="140"/>
      <c r="F64" s="140"/>
      <c r="G64" s="140"/>
      <c r="H64" s="140"/>
      <c r="I64" s="140"/>
      <c r="J64" s="140"/>
      <c r="K64" s="140"/>
      <c r="L64" s="140"/>
      <c r="M64" s="140"/>
      <c r="N64" s="140"/>
      <c r="O64" s="140"/>
      <c r="P64" s="140"/>
      <c r="Q64" s="140"/>
      <c r="R64" s="140"/>
      <c r="S64" s="140"/>
      <c r="T64" s="140"/>
      <c r="U64" s="140"/>
      <c r="V64" s="140"/>
      <c r="W64" s="140"/>
      <c r="X64" s="140"/>
      <c r="Y64" s="140"/>
      <c r="Z64" s="140"/>
      <c r="AA64" s="140"/>
      <c r="AB64" s="140"/>
      <c r="AC64" s="140"/>
      <c r="AD64" s="140"/>
      <c r="AE64" s="140"/>
      <c r="AF64" s="140"/>
      <c r="AG64" s="140"/>
      <c r="AH64" s="140"/>
      <c r="AI64" s="140"/>
      <c r="AJ64" s="140"/>
      <c r="AK64" s="140"/>
      <c r="AL64" s="140"/>
      <c r="AM64" s="140"/>
      <c r="AN64" s="140"/>
      <c r="AO64" s="140"/>
    </row>
  </sheetData>
  <mergeCells count="8">
    <mergeCell ref="B1:T1"/>
    <mergeCell ref="V1:AN1"/>
    <mergeCell ref="B2:C2"/>
    <mergeCell ref="D2:E2"/>
    <mergeCell ref="G2:S2"/>
    <mergeCell ref="V2:W2"/>
    <mergeCell ref="X2:Y2"/>
    <mergeCell ref="AA2:AM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P11"/>
  <sheetViews>
    <sheetView workbookViewId="0"/>
  </sheetViews>
  <sheetFormatPr defaultRowHeight="14.25" x14ac:dyDescent="0.2"/>
  <cols>
    <col min="1" max="1" width="8.25" customWidth="1"/>
    <col min="2" max="2" width="15.625" customWidth="1"/>
    <col min="3" max="3" width="15.625" style="140" customWidth="1"/>
    <col min="4" max="4" width="14.875" customWidth="1"/>
    <col min="5" max="5" width="14.125" customWidth="1"/>
    <col min="6" max="6" width="17.5" customWidth="1"/>
    <col min="7" max="7" width="3.375" customWidth="1"/>
    <col min="8" max="8" width="17.375" customWidth="1"/>
    <col min="9" max="9" width="15.5" customWidth="1"/>
    <col min="10" max="10" width="17.625" customWidth="1"/>
    <col min="11" max="11" width="3.75" customWidth="1"/>
    <col min="12" max="12" width="25.25" customWidth="1"/>
    <col min="13" max="14" width="14.125" customWidth="1"/>
    <col min="15" max="15" width="13.375" customWidth="1"/>
  </cols>
  <sheetData>
    <row r="1" spans="1:16" s="140" customFormat="1" ht="22.5" x14ac:dyDescent="0.3">
      <c r="B1" s="308" t="s">
        <v>59</v>
      </c>
      <c r="C1" s="308"/>
      <c r="D1" s="308"/>
      <c r="E1" s="308"/>
      <c r="F1" s="308"/>
      <c r="G1" s="308"/>
      <c r="H1" s="308"/>
      <c r="I1" s="308"/>
      <c r="J1" s="308"/>
      <c r="K1" s="308"/>
      <c r="L1" s="308"/>
    </row>
    <row r="2" spans="1:16" ht="15.75" x14ac:dyDescent="0.25">
      <c r="A2" s="252"/>
      <c r="B2" s="315" t="s">
        <v>93</v>
      </c>
      <c r="C2" s="315"/>
      <c r="D2" s="315"/>
      <c r="E2" s="315"/>
      <c r="F2" s="315"/>
      <c r="G2" s="31"/>
      <c r="H2" s="315" t="s">
        <v>359</v>
      </c>
      <c r="I2" s="315"/>
      <c r="J2" s="315"/>
      <c r="L2" s="305" t="s">
        <v>384</v>
      </c>
      <c r="P2" s="51"/>
    </row>
    <row r="3" spans="1:16" ht="28.5" x14ac:dyDescent="0.2">
      <c r="B3" s="281" t="s">
        <v>333</v>
      </c>
      <c r="C3" s="281" t="s">
        <v>416</v>
      </c>
      <c r="D3" s="281" t="s">
        <v>110</v>
      </c>
      <c r="E3" s="281" t="s">
        <v>383</v>
      </c>
      <c r="F3" s="281" t="s">
        <v>380</v>
      </c>
      <c r="G3" s="253"/>
      <c r="H3" s="281" t="s">
        <v>110</v>
      </c>
      <c r="I3" s="281" t="s">
        <v>382</v>
      </c>
      <c r="J3" s="281" t="s">
        <v>380</v>
      </c>
      <c r="L3" s="284" t="s">
        <v>380</v>
      </c>
    </row>
    <row r="4" spans="1:16" ht="57.75" thickBot="1" x14ac:dyDescent="0.25">
      <c r="A4" s="103" t="s">
        <v>306</v>
      </c>
      <c r="B4" s="101" t="s">
        <v>379</v>
      </c>
      <c r="C4" s="101" t="s">
        <v>417</v>
      </c>
      <c r="D4" s="101" t="s">
        <v>379</v>
      </c>
      <c r="E4" s="101"/>
      <c r="F4" s="213" t="s">
        <v>381</v>
      </c>
      <c r="G4" s="103"/>
      <c r="H4" s="101" t="s">
        <v>379</v>
      </c>
      <c r="I4" s="101"/>
      <c r="J4" s="213" t="s">
        <v>381</v>
      </c>
      <c r="K4" s="103"/>
      <c r="L4" s="269" t="s">
        <v>385</v>
      </c>
    </row>
    <row r="5" spans="1:16" ht="15.75" thickTop="1" x14ac:dyDescent="0.2">
      <c r="A5" s="282">
        <v>2013</v>
      </c>
      <c r="B5" s="24">
        <f>'Poikkeama rak.jäämästä'!R12</f>
        <v>1</v>
      </c>
      <c r="C5" s="24">
        <f>'Poikkeama rak.jäämästä'!S12</f>
        <v>0</v>
      </c>
      <c r="D5" s="24">
        <f>'Poikkeama rak.jäämästä'!Z12</f>
        <v>0</v>
      </c>
      <c r="E5" s="221">
        <f>'Poikkeama rak.jäämästä'!V12</f>
        <v>-9.511863030843646E-5</v>
      </c>
      <c r="F5" s="24">
        <f>IF(B5=1,1,IF(D5=1,-1,IF(E5&gt;0,0,1)))</f>
        <v>1</v>
      </c>
      <c r="G5" s="31"/>
      <c r="H5" s="24">
        <f>'Poikkeama menosäännöstä'!AF7</f>
        <v>0</v>
      </c>
      <c r="I5" s="221">
        <f>'Poikkeama menosäännöstä'!Z7</f>
        <v>-4.9096076646372756E-3</v>
      </c>
      <c r="J5" s="24">
        <f>IF(H5=1,-1,IF(I5&gt;0,0,1))</f>
        <v>1</v>
      </c>
      <c r="L5">
        <f>IF(C5=1,1,IF(AND(F5=-1,J5=-1),-1,IF(F5*J5&lt;=0,0,1)))</f>
        <v>1</v>
      </c>
    </row>
    <row r="6" spans="1:16" ht="15" x14ac:dyDescent="0.2">
      <c r="A6" s="282">
        <v>2014</v>
      </c>
      <c r="B6" s="24">
        <f>'Poikkeama rak.jäämästä'!R13</f>
        <v>0</v>
      </c>
      <c r="C6" s="24">
        <f>'Poikkeama rak.jäämästä'!S13</f>
        <v>0</v>
      </c>
      <c r="D6" s="24">
        <f>'Poikkeama rak.jäämästä'!Z13</f>
        <v>0</v>
      </c>
      <c r="E6" s="221">
        <f>'Poikkeama rak.jäämästä'!V13</f>
        <v>2.3952925643218196E-3</v>
      </c>
      <c r="F6" s="24">
        <f t="shared" ref="F6:F10" si="0">IF(B6=1,1,IF(D6=1,-1,IF(E6&gt;0,0,1)))</f>
        <v>0</v>
      </c>
      <c r="G6" s="31"/>
      <c r="H6" s="24">
        <f>'Poikkeama menosäännöstä'!AF8</f>
        <v>0</v>
      </c>
      <c r="I6" s="221">
        <f>'Poikkeama menosäännöstä'!Z8</f>
        <v>-2.3152224808438162E-3</v>
      </c>
      <c r="J6" s="24">
        <f t="shared" ref="J6:J10" si="1">IF(H6=1,-1,IF(I6&gt;0,0,1))</f>
        <v>1</v>
      </c>
      <c r="L6" s="140">
        <f t="shared" ref="L6:L10" si="2">IF(C6=1,1,IF(AND(F6=-1,J6=-1),-1,IF(F6*J6&lt;=0,0,1)))</f>
        <v>0</v>
      </c>
    </row>
    <row r="7" spans="1:16" ht="15" x14ac:dyDescent="0.2">
      <c r="A7" s="282">
        <v>2015</v>
      </c>
      <c r="B7" s="24">
        <f>'Poikkeama rak.jäämästä'!R14</f>
        <v>1</v>
      </c>
      <c r="C7" s="24">
        <f>'Poikkeama rak.jäämästä'!S14</f>
        <v>1</v>
      </c>
      <c r="D7" s="24">
        <f>'Poikkeama rak.jäämästä'!Z14</f>
        <v>0</v>
      </c>
      <c r="E7" s="221">
        <f>'Poikkeama rak.jäämästä'!V14</f>
        <v>-4.5841919157113458E-3</v>
      </c>
      <c r="F7" s="24">
        <f t="shared" si="0"/>
        <v>1</v>
      </c>
      <c r="G7" s="31"/>
      <c r="H7" s="24">
        <f>'Poikkeama menosäännöstä'!AF9</f>
        <v>0</v>
      </c>
      <c r="I7" s="221">
        <f>'Poikkeama menosäännöstä'!Z9</f>
        <v>-6.1022905883815733E-3</v>
      </c>
      <c r="J7" s="24">
        <f t="shared" si="1"/>
        <v>1</v>
      </c>
      <c r="L7" s="140">
        <f t="shared" si="2"/>
        <v>1</v>
      </c>
    </row>
    <row r="8" spans="1:16" ht="15" x14ac:dyDescent="0.2">
      <c r="A8" s="282">
        <v>2016</v>
      </c>
      <c r="B8" s="24">
        <f>'Poikkeama rak.jäämästä'!R15</f>
        <v>1</v>
      </c>
      <c r="C8" s="24">
        <f>'Poikkeama rak.jäämästä'!S15</f>
        <v>1</v>
      </c>
      <c r="D8" s="24">
        <f>'Poikkeama rak.jäämästä'!Z15</f>
        <v>0</v>
      </c>
      <c r="E8" s="221">
        <f>'Poikkeama rak.jäämästä'!V15</f>
        <v>-1.6713859245785214E-4</v>
      </c>
      <c r="F8" s="24">
        <f t="shared" si="0"/>
        <v>1</v>
      </c>
      <c r="G8" s="31"/>
      <c r="H8" s="24">
        <f>'Poikkeama menosäännöstä'!AF10</f>
        <v>0</v>
      </c>
      <c r="I8" s="221">
        <f>'Poikkeama menosäännöstä'!Z10</f>
        <v>-2.2139589787149565E-3</v>
      </c>
      <c r="J8" s="24">
        <f t="shared" si="1"/>
        <v>1</v>
      </c>
      <c r="L8" s="140">
        <f t="shared" si="2"/>
        <v>1</v>
      </c>
    </row>
    <row r="9" spans="1:16" ht="15" x14ac:dyDescent="0.2">
      <c r="A9" s="282">
        <v>2017</v>
      </c>
      <c r="B9" s="24">
        <f>'Poikkeama rak.jäämästä'!R16</f>
        <v>1</v>
      </c>
      <c r="C9" s="24">
        <f>'Poikkeama rak.jäämästä'!S16</f>
        <v>1</v>
      </c>
      <c r="D9" s="24">
        <f>'Poikkeama rak.jäämästä'!Z16</f>
        <v>0</v>
      </c>
      <c r="E9" s="221">
        <f>'Poikkeama rak.jäämästä'!V16</f>
        <v>-2.2462036242090356E-3</v>
      </c>
      <c r="F9" s="24">
        <f t="shared" si="0"/>
        <v>1</v>
      </c>
      <c r="G9" s="31"/>
      <c r="H9" s="24">
        <f>'Poikkeama menosäännöstä'!AF15</f>
        <v>0</v>
      </c>
      <c r="I9" s="221">
        <f>'Poikkeama menosäännöstä'!Z15</f>
        <v>4.8601863008192647E-4</v>
      </c>
      <c r="J9" s="24">
        <f t="shared" si="1"/>
        <v>0</v>
      </c>
      <c r="L9" s="140">
        <f t="shared" si="2"/>
        <v>1</v>
      </c>
    </row>
    <row r="10" spans="1:16" ht="15.75" thickBot="1" x14ac:dyDescent="0.25">
      <c r="A10" s="283">
        <v>2018</v>
      </c>
      <c r="B10" s="101">
        <f>'Poikkeama rak.jäämästä'!R17</f>
        <v>1</v>
      </c>
      <c r="C10" s="101">
        <f>'Poikkeama rak.jäämästä'!S17</f>
        <v>1</v>
      </c>
      <c r="D10" s="101">
        <f>'Poikkeama rak.jäämästä'!Z17</f>
        <v>0</v>
      </c>
      <c r="E10" s="220">
        <f>'Poikkeama rak.jäämästä'!V17</f>
        <v>-1.8305192513673239E-3</v>
      </c>
      <c r="F10" s="101">
        <f t="shared" si="0"/>
        <v>1</v>
      </c>
      <c r="G10" s="103"/>
      <c r="H10" s="101">
        <f>'Poikkeama menosäännöstä'!AF16</f>
        <v>1</v>
      </c>
      <c r="I10" s="220">
        <f>'Poikkeama menosäännöstä'!Z16</f>
        <v>4.7196941791825047E-3</v>
      </c>
      <c r="J10" s="101">
        <f t="shared" si="1"/>
        <v>-1</v>
      </c>
      <c r="K10" s="103"/>
      <c r="L10" s="103">
        <f t="shared" si="2"/>
        <v>1</v>
      </c>
    </row>
    <row r="11" spans="1:16" ht="15" thickTop="1" x14ac:dyDescent="0.2"/>
  </sheetData>
  <mergeCells count="3">
    <mergeCell ref="B2:F2"/>
    <mergeCell ref="H2:J2"/>
    <mergeCell ref="B1:L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AG16"/>
  <sheetViews>
    <sheetView workbookViewId="0">
      <pane xSplit="1" topLeftCell="B1" activePane="topRight" state="frozen"/>
      <selection pane="topRight"/>
    </sheetView>
  </sheetViews>
  <sheetFormatPr defaultRowHeight="14.25" x14ac:dyDescent="0.2"/>
  <cols>
    <col min="1" max="1" width="16.25" customWidth="1"/>
    <col min="2" max="2" width="21.75" customWidth="1"/>
    <col min="3" max="3" width="22" customWidth="1"/>
    <col min="4" max="4" width="2.875" customWidth="1"/>
    <col min="5" max="5" width="18.875" customWidth="1"/>
    <col min="6" max="6" width="2.125" style="140" customWidth="1"/>
    <col min="7" max="7" width="18.875" style="140" customWidth="1"/>
    <col min="8" max="8" width="11.625" customWidth="1"/>
    <col min="9" max="9" width="2.25" customWidth="1"/>
    <col min="10" max="10" width="25.625" customWidth="1"/>
    <col min="11" max="11" width="25.625" style="140" customWidth="1"/>
    <col min="12" max="13" width="23" style="140" customWidth="1"/>
    <col min="14" max="14" width="21.25" customWidth="1"/>
    <col min="15" max="15" width="16" customWidth="1"/>
    <col min="16" max="16" width="16" style="140" customWidth="1"/>
    <col min="18" max="18" width="20.875" customWidth="1"/>
    <col min="19" max="19" width="21.375" customWidth="1"/>
    <col min="20" max="20" width="3.875" customWidth="1"/>
    <col min="21" max="21" width="17.875" customWidth="1"/>
    <col min="22" max="22" width="3.625" style="140" customWidth="1"/>
    <col min="23" max="23" width="17.875" style="140" customWidth="1"/>
    <col min="24" max="24" width="14.5" customWidth="1"/>
    <col min="25" max="25" width="3.625" customWidth="1"/>
    <col min="26" max="26" width="25.5" customWidth="1"/>
    <col min="27" max="27" width="25.5" style="140" customWidth="1"/>
    <col min="28" max="28" width="19.75" customWidth="1"/>
    <col min="29" max="29" width="19.75" style="140" customWidth="1"/>
    <col min="30" max="30" width="19.75" customWidth="1"/>
    <col min="31" max="31" width="18" customWidth="1"/>
    <col min="32" max="32" width="18" style="140" customWidth="1"/>
  </cols>
  <sheetData>
    <row r="1" spans="1:33" s="140" customFormat="1" ht="22.5" x14ac:dyDescent="0.3">
      <c r="B1" s="308" t="s">
        <v>58</v>
      </c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308"/>
      <c r="O1" s="308"/>
      <c r="P1" s="187"/>
      <c r="R1" s="308" t="s">
        <v>59</v>
      </c>
      <c r="S1" s="308"/>
      <c r="T1" s="308"/>
      <c r="U1" s="308"/>
      <c r="V1" s="308"/>
      <c r="W1" s="308"/>
      <c r="X1" s="308"/>
      <c r="Y1" s="308"/>
      <c r="Z1" s="308"/>
      <c r="AA1" s="308"/>
      <c r="AB1" s="308"/>
      <c r="AC1" s="308"/>
      <c r="AD1" s="308"/>
      <c r="AE1" s="308"/>
      <c r="AF1" s="187"/>
    </row>
    <row r="2" spans="1:33" x14ac:dyDescent="0.2">
      <c r="Q2" s="4"/>
      <c r="AG2" s="4"/>
    </row>
    <row r="3" spans="1:33" ht="57.75" x14ac:dyDescent="0.25">
      <c r="B3" s="185" t="s">
        <v>313</v>
      </c>
      <c r="C3" s="185" t="s">
        <v>312</v>
      </c>
      <c r="D3" s="185"/>
      <c r="E3" s="188" t="s">
        <v>317</v>
      </c>
      <c r="F3" s="188"/>
      <c r="G3" s="188" t="s">
        <v>372</v>
      </c>
      <c r="H3" s="185" t="s">
        <v>272</v>
      </c>
      <c r="J3" s="185" t="s">
        <v>314</v>
      </c>
      <c r="K3" s="188" t="s">
        <v>369</v>
      </c>
      <c r="L3" s="185" t="s">
        <v>315</v>
      </c>
      <c r="M3" s="188" t="s">
        <v>369</v>
      </c>
      <c r="N3" s="185" t="s">
        <v>316</v>
      </c>
      <c r="O3" s="188" t="s">
        <v>315</v>
      </c>
      <c r="P3" s="188" t="s">
        <v>373</v>
      </c>
      <c r="Q3" s="4"/>
      <c r="R3" s="185" t="s">
        <v>313</v>
      </c>
      <c r="S3" s="185" t="s">
        <v>312</v>
      </c>
      <c r="T3" s="185"/>
      <c r="U3" s="188" t="s">
        <v>317</v>
      </c>
      <c r="V3" s="188"/>
      <c r="W3" s="188" t="s">
        <v>372</v>
      </c>
      <c r="X3" s="185" t="s">
        <v>272</v>
      </c>
      <c r="Y3" s="140"/>
      <c r="Z3" s="185" t="s">
        <v>314</v>
      </c>
      <c r="AA3" s="188" t="s">
        <v>369</v>
      </c>
      <c r="AB3" s="185" t="s">
        <v>315</v>
      </c>
      <c r="AC3" s="188" t="s">
        <v>369</v>
      </c>
      <c r="AD3" s="185" t="s">
        <v>316</v>
      </c>
      <c r="AE3" s="188" t="s">
        <v>315</v>
      </c>
      <c r="AF3" s="188" t="s">
        <v>373</v>
      </c>
      <c r="AG3" s="4"/>
    </row>
    <row r="4" spans="1:33" ht="15" thickBot="1" x14ac:dyDescent="0.25">
      <c r="A4" s="103" t="s">
        <v>309</v>
      </c>
      <c r="B4" s="103"/>
      <c r="C4" s="103"/>
      <c r="D4" s="103"/>
      <c r="E4" s="103"/>
      <c r="F4" s="103"/>
      <c r="G4" s="103"/>
      <c r="H4" s="103"/>
      <c r="I4" s="103"/>
      <c r="J4" s="101" t="s">
        <v>298</v>
      </c>
      <c r="K4" s="101" t="s">
        <v>374</v>
      </c>
      <c r="L4" s="103"/>
      <c r="M4" s="101" t="s">
        <v>374</v>
      </c>
      <c r="N4" s="101" t="s">
        <v>298</v>
      </c>
      <c r="O4" s="103"/>
      <c r="P4" s="101" t="s">
        <v>374</v>
      </c>
      <c r="Q4" s="28"/>
      <c r="R4" s="103"/>
      <c r="S4" s="103"/>
      <c r="T4" s="103"/>
      <c r="U4" s="103"/>
      <c r="V4" s="103"/>
      <c r="W4" s="103"/>
      <c r="X4" s="103"/>
      <c r="Y4" s="103"/>
      <c r="Z4" s="101" t="s">
        <v>298</v>
      </c>
      <c r="AA4" s="101" t="s">
        <v>374</v>
      </c>
      <c r="AB4" s="103"/>
      <c r="AC4" s="101" t="s">
        <v>374</v>
      </c>
      <c r="AD4" s="101" t="s">
        <v>298</v>
      </c>
      <c r="AE4" s="103"/>
      <c r="AF4" s="101" t="s">
        <v>374</v>
      </c>
      <c r="AG4" s="28"/>
    </row>
    <row r="5" spans="1:33" ht="15" thickTop="1" x14ac:dyDescent="0.2">
      <c r="A5" s="140">
        <v>2011</v>
      </c>
      <c r="B5" s="95">
        <f>Menosääntö!K5</f>
        <v>4.9999999999999992E-3</v>
      </c>
      <c r="C5" s="95">
        <f>Menosääntö!L5</f>
        <v>1.2199227199842871E-2</v>
      </c>
      <c r="G5" s="174"/>
      <c r="H5" s="174"/>
      <c r="Q5" s="4"/>
      <c r="R5" s="95">
        <f>Menosääntö!AA5</f>
        <v>4.9999999999999992E-3</v>
      </c>
      <c r="S5" s="95">
        <f>Menosääntö!AB5</f>
        <v>1.2200111293262003E-2</v>
      </c>
      <c r="AG5" s="4"/>
    </row>
    <row r="6" spans="1:33" x14ac:dyDescent="0.2">
      <c r="A6" s="140">
        <v>2012</v>
      </c>
      <c r="B6" s="95">
        <f>Menosääntö!K6</f>
        <v>4.9999999999999975E-3</v>
      </c>
      <c r="C6" s="95">
        <f>Menosääntö!L6</f>
        <v>4.9961359992143663E-3</v>
      </c>
      <c r="E6" s="95">
        <f>'Menosäännön menojen laskenta'!U6</f>
        <v>1.5006271175367569E-2</v>
      </c>
      <c r="F6" s="95"/>
      <c r="G6" s="95">
        <f>E6-B6</f>
        <v>1.0006271175367572E-2</v>
      </c>
      <c r="H6" s="95">
        <f>'Menosäännön menojen laskenta'!L5/'EDP-velka'!G43</f>
        <v>0.51259901169814515</v>
      </c>
      <c r="J6" s="104">
        <f>G6*H6</f>
        <v>5.1292047152770547E-3</v>
      </c>
      <c r="K6" s="273">
        <f>IF(J6&gt;0.005,1,0)</f>
        <v>1</v>
      </c>
      <c r="L6" s="104"/>
      <c r="N6" s="104">
        <f>(E6-C6)*H6</f>
        <v>5.1311853982609701E-3</v>
      </c>
      <c r="Q6" s="4"/>
      <c r="R6" s="95">
        <f>Menosääntö!AA6</f>
        <v>4.9999999999999975E-3</v>
      </c>
      <c r="S6" s="95">
        <f>Menosääntö!AB6</f>
        <v>4.9999999999999975E-3</v>
      </c>
      <c r="U6" s="95">
        <f>'Menosäännön menojen laskenta'!U6</f>
        <v>1.5006271175367569E-2</v>
      </c>
      <c r="V6" s="95"/>
      <c r="W6" s="95">
        <f>U6-R6</f>
        <v>1.0006271175367572E-2</v>
      </c>
      <c r="X6" s="95">
        <f>'Menosäännön menojen laskenta'!I5/'EDP-velka'!AA43</f>
        <v>0.51863877587427432</v>
      </c>
      <c r="Z6" s="104">
        <f t="shared" ref="Z6:Z12" si="0">W6*X6</f>
        <v>5.1896402334586731E-3</v>
      </c>
      <c r="AA6" s="273">
        <f>IF(Z6&gt;0.005,1,0)</f>
        <v>1</v>
      </c>
      <c r="AD6" s="104">
        <f t="shared" ref="AD6:AD12" si="1">(U6-S6)*X6</f>
        <v>5.1896402334586731E-3</v>
      </c>
      <c r="AG6" s="4"/>
    </row>
    <row r="7" spans="1:33" x14ac:dyDescent="0.2">
      <c r="A7" s="140">
        <v>2013</v>
      </c>
      <c r="B7" s="111">
        <f>Menosääntö!K7</f>
        <v>4.9961359992143663E-3</v>
      </c>
      <c r="C7" s="95">
        <f>Menosääntö!L7</f>
        <v>4.9961359992143663E-3</v>
      </c>
      <c r="E7" s="111">
        <f>'Menosäännön menojen laskenta'!U7</f>
        <v>-4.0870423833037073E-3</v>
      </c>
      <c r="F7" s="272"/>
      <c r="G7" s="111">
        <f>E7-B7</f>
        <v>-9.0831783825180736E-3</v>
      </c>
      <c r="H7" s="111">
        <f>'Menosäännön menojen laskenta'!L6/'EDP-velka'!G44</f>
        <v>0.53281371908251751</v>
      </c>
      <c r="J7" s="113">
        <f>G7*H7</f>
        <v>-4.8396420550793811E-3</v>
      </c>
      <c r="K7" s="274">
        <f>IF(J7&gt;0.005,1,0)</f>
        <v>0</v>
      </c>
      <c r="L7" s="113">
        <f>AVERAGE(J6:J7)</f>
        <v>1.447813300988368E-4</v>
      </c>
      <c r="M7" s="276">
        <f>IF(L7&gt;0.0025,1,0)</f>
        <v>0</v>
      </c>
      <c r="N7" s="104">
        <f>(E7-C7)*H7</f>
        <v>-4.8396420550793811E-3</v>
      </c>
      <c r="O7" s="110">
        <f>AVERAGE(N6:N7)</f>
        <v>1.4577167159079453E-4</v>
      </c>
      <c r="P7" s="170">
        <f>IF(OR(K7=1,M7=1),1,0)</f>
        <v>0</v>
      </c>
      <c r="Q7" s="4"/>
      <c r="R7" s="111">
        <f>Menosääntö!AA7</f>
        <v>5.0005564663100199E-3</v>
      </c>
      <c r="S7" s="95">
        <f>Menosääntö!AB7</f>
        <v>4.9999999999999975E-3</v>
      </c>
      <c r="U7" s="111">
        <f>'Menosäännön menojen laskenta'!U7</f>
        <v>-4.0870423833037073E-3</v>
      </c>
      <c r="V7" s="272"/>
      <c r="W7" s="111">
        <f t="shared" ref="W7:W11" si="2">U7-R7</f>
        <v>-9.0875988496137271E-3</v>
      </c>
      <c r="X7" s="111">
        <f>'Menosäännön menojen laskenta'!I6/'EDP-velka'!AA44</f>
        <v>0.54025356377234468</v>
      </c>
      <c r="Z7" s="113">
        <f t="shared" si="0"/>
        <v>-4.9096076646372756E-3</v>
      </c>
      <c r="AA7" s="274">
        <f>IF(Z7&gt;0.005,1,0)</f>
        <v>0</v>
      </c>
      <c r="AB7" s="113">
        <f>(Z7+Z6)/2</f>
        <v>1.4001628441069874E-4</v>
      </c>
      <c r="AC7" s="276">
        <f>IF(AB7&gt;0.0025,1,0)</f>
        <v>0</v>
      </c>
      <c r="AD7" s="104">
        <f t="shared" si="1"/>
        <v>-4.909307031730167E-3</v>
      </c>
      <c r="AE7" s="95">
        <f>(AD7+AD6)/2</f>
        <v>1.4016660086425305E-4</v>
      </c>
      <c r="AF7" s="170">
        <f>IF(OR(AA7=1,AC7=1),1,0)</f>
        <v>0</v>
      </c>
      <c r="AG7" s="4"/>
    </row>
    <row r="8" spans="1:33" x14ac:dyDescent="0.2">
      <c r="A8" s="140">
        <v>2014</v>
      </c>
      <c r="B8" s="95">
        <f>Menosääntö!K8</f>
        <v>8.0000000000000002E-3</v>
      </c>
      <c r="C8" s="95">
        <f>Menosääntö!L8</f>
        <v>8.0000000000000002E-3</v>
      </c>
      <c r="E8" s="95">
        <f>'Menosäännön menojen laskenta'!U8</f>
        <v>3.7696014030192959E-3</v>
      </c>
      <c r="F8" s="95"/>
      <c r="G8" s="95">
        <f>E8-B8</f>
        <v>-4.2303985969807043E-3</v>
      </c>
      <c r="H8" s="95">
        <f>'Menosäännön menojen laskenta'!L7/'EDP-velka'!G45</f>
        <v>0.53161256395487189</v>
      </c>
      <c r="J8" s="104">
        <f>G8*H8</f>
        <v>-2.2489330446920051E-3</v>
      </c>
      <c r="K8" s="273">
        <f t="shared" ref="K8:K9" si="3">IF(J8&gt;0.005,1,0)</f>
        <v>0</v>
      </c>
      <c r="L8" s="104">
        <f>AVERAGE(J7:J8)</f>
        <v>-3.5442875498856931E-3</v>
      </c>
      <c r="M8" s="277">
        <f t="shared" ref="M8:M9" si="4">IF(L8&gt;0.0025,1,0)</f>
        <v>0</v>
      </c>
      <c r="N8" s="104">
        <f>(E8-C8)*H8</f>
        <v>-2.2489330446920051E-3</v>
      </c>
      <c r="O8" s="110">
        <f t="shared" ref="O8:O9" si="5">AVERAGE(N7:N8)</f>
        <v>-3.5442875498856931E-3</v>
      </c>
      <c r="P8" s="168">
        <f t="shared" ref="P8:P9" si="6">IF(OR(K8=1,M8=1),1,0)</f>
        <v>0</v>
      </c>
      <c r="Q8" s="4"/>
      <c r="R8" s="95">
        <f>Menosääntö!AA8</f>
        <v>8.0000000000000002E-3</v>
      </c>
      <c r="S8" s="95">
        <f>Menosääntö!AB8</f>
        <v>8.0000000000000002E-3</v>
      </c>
      <c r="U8" s="95">
        <f>'Menosäännön menojen laskenta'!U8</f>
        <v>3.7696014030192959E-3</v>
      </c>
      <c r="V8" s="95"/>
      <c r="W8" s="95">
        <f t="shared" si="2"/>
        <v>-4.2303985969807043E-3</v>
      </c>
      <c r="X8" s="95">
        <f>'Menosäännön menojen laskenta'!I7/'EDP-velka'!AA45</f>
        <v>0.54728234887753213</v>
      </c>
      <c r="Z8" s="104">
        <f t="shared" si="0"/>
        <v>-2.3152224808438162E-3</v>
      </c>
      <c r="AA8" s="273">
        <f t="shared" ref="AA8:AA12" si="7">IF(Z8&gt;0.005,1,0)</f>
        <v>0</v>
      </c>
      <c r="AB8" s="104">
        <f t="shared" ref="AB8:AB12" si="8">(Z8+Z7)/2</f>
        <v>-3.6124150727405461E-3</v>
      </c>
      <c r="AC8" s="277">
        <f t="shared" ref="AC8:AC12" si="9">IF(AB8&gt;0.0025,1,0)</f>
        <v>0</v>
      </c>
      <c r="AD8" s="104">
        <f t="shared" si="1"/>
        <v>-2.3152224808438162E-3</v>
      </c>
      <c r="AE8" s="95">
        <f t="shared" ref="AE8:AE12" si="10">(AD8+AD7)/2</f>
        <v>-3.6122647562869918E-3</v>
      </c>
      <c r="AF8" s="168">
        <f t="shared" ref="AF8:AF12" si="11">IF(OR(AA8=1,AC8=1),1,0)</f>
        <v>0</v>
      </c>
      <c r="AG8" s="4"/>
    </row>
    <row r="9" spans="1:33" x14ac:dyDescent="0.2">
      <c r="A9" s="140">
        <v>2015</v>
      </c>
      <c r="B9" s="95">
        <f>Menosääntö!K9</f>
        <v>-1.0038640007856321E-3</v>
      </c>
      <c r="C9" s="95">
        <f>Menosääntö!L9</f>
        <v>1.9538716309768856E-3</v>
      </c>
      <c r="E9" s="95">
        <f>'Menosäännön menojen laskenta'!U9</f>
        <v>-1.2110877792461006E-2</v>
      </c>
      <c r="F9" s="95"/>
      <c r="G9" s="95">
        <f>E9-B9</f>
        <v>-1.1107013791675373E-2</v>
      </c>
      <c r="H9" s="95">
        <f>'Menosäännön menojen laskenta'!L8/'EDP-velka'!G46</f>
        <v>0.53682601608659897</v>
      </c>
      <c r="J9" s="104">
        <f>G9*H9</f>
        <v>-5.962533964404001E-3</v>
      </c>
      <c r="K9" s="273">
        <f t="shared" si="3"/>
        <v>0</v>
      </c>
      <c r="L9" s="104">
        <f>AVERAGE(J8:J9)</f>
        <v>-4.1057335045480026E-3</v>
      </c>
      <c r="M9" s="277">
        <f t="shared" si="4"/>
        <v>0</v>
      </c>
      <c r="N9" s="104">
        <f>(E9-C9)*H9</f>
        <v>-7.5503234002404522E-3</v>
      </c>
      <c r="O9" s="110">
        <f t="shared" si="5"/>
        <v>-4.8996282224662291E-3</v>
      </c>
      <c r="P9" s="168">
        <f t="shared" si="6"/>
        <v>0</v>
      </c>
      <c r="Q9" s="4"/>
      <c r="R9" s="95">
        <f>Menosääntö!AA9</f>
        <v>-9.9944353368997853E-4</v>
      </c>
      <c r="S9" s="95">
        <f>Menosääntö!AB9</f>
        <v>6.2001112932620044E-3</v>
      </c>
      <c r="U9" s="95">
        <f>'Menosäännön menojen laskenta'!U9</f>
        <v>-1.2110877792461006E-2</v>
      </c>
      <c r="V9" s="95"/>
      <c r="W9" s="95">
        <f t="shared" si="2"/>
        <v>-1.1111434258771027E-2</v>
      </c>
      <c r="X9" s="95">
        <f>'Menosäännön menojen laskenta'!I8/'EDP-velka'!AA46</f>
        <v>0.5491901806973849</v>
      </c>
      <c r="Z9" s="104">
        <f t="shared" si="0"/>
        <v>-6.1022905883815733E-3</v>
      </c>
      <c r="AA9" s="273">
        <f t="shared" si="7"/>
        <v>0</v>
      </c>
      <c r="AB9" s="104">
        <f t="shared" si="8"/>
        <v>-4.2087565346126945E-3</v>
      </c>
      <c r="AC9" s="277">
        <f t="shared" si="9"/>
        <v>0</v>
      </c>
      <c r="AD9" s="104">
        <f t="shared" si="1"/>
        <v>-1.0056215404736064E-2</v>
      </c>
      <c r="AE9" s="95">
        <f t="shared" si="10"/>
        <v>-6.1857189427899405E-3</v>
      </c>
      <c r="AF9" s="168">
        <f t="shared" si="11"/>
        <v>0</v>
      </c>
      <c r="AG9" s="4"/>
    </row>
    <row r="10" spans="1:33" x14ac:dyDescent="0.2">
      <c r="A10" s="140">
        <v>2016</v>
      </c>
      <c r="B10" s="95">
        <f>Menosääntö!K10</f>
        <v>-1.0038640007856321E-3</v>
      </c>
      <c r="C10" s="95"/>
      <c r="E10" s="95">
        <f>'Menosäännön menojen laskenta'!U10</f>
        <v>3.9088452507745064E-3</v>
      </c>
      <c r="F10" s="95"/>
      <c r="G10" s="95"/>
      <c r="H10" s="174"/>
      <c r="J10" s="140"/>
      <c r="K10" s="273"/>
      <c r="M10" s="277"/>
      <c r="N10" s="104"/>
      <c r="P10" s="168"/>
      <c r="Q10" s="4"/>
      <c r="R10" s="95">
        <f>Menosääntö!AA10</f>
        <v>8.0000000000000002E-3</v>
      </c>
      <c r="S10" s="95">
        <f>Menosääntö!AB10</f>
        <v>8.0000000000000002E-3</v>
      </c>
      <c r="U10" s="95">
        <f>'Menosäännön menojen laskenta'!U10</f>
        <v>3.9088452507745064E-3</v>
      </c>
      <c r="V10" s="95"/>
      <c r="W10" s="95">
        <f t="shared" si="2"/>
        <v>-4.0911547492254938E-3</v>
      </c>
      <c r="X10" s="95">
        <f>'Menosäännön menojen laskenta'!I9/'EDP-velka'!AA47</f>
        <v>0.54115747617077703</v>
      </c>
      <c r="Z10" s="104">
        <f t="shared" si="0"/>
        <v>-2.2139589787149565E-3</v>
      </c>
      <c r="AA10" s="273">
        <f t="shared" si="7"/>
        <v>0</v>
      </c>
      <c r="AB10" s="104">
        <f t="shared" si="8"/>
        <v>-4.1581247835482654E-3</v>
      </c>
      <c r="AC10" s="277">
        <f t="shared" si="9"/>
        <v>0</v>
      </c>
      <c r="AD10" s="104">
        <f t="shared" si="1"/>
        <v>-2.2139589787149565E-3</v>
      </c>
      <c r="AE10" s="95">
        <f t="shared" si="10"/>
        <v>-6.1350871917255105E-3</v>
      </c>
      <c r="AF10" s="168">
        <f t="shared" si="11"/>
        <v>0</v>
      </c>
      <c r="AG10" s="4"/>
    </row>
    <row r="11" spans="1:33" x14ac:dyDescent="0.2">
      <c r="A11" s="140">
        <v>2017</v>
      </c>
      <c r="B11" s="95">
        <f>Menosääntö!K11</f>
        <v>-5.6434176508104268E-3</v>
      </c>
      <c r="C11" s="95"/>
      <c r="E11" s="95">
        <f>'Menosäännön menojen laskenta'!U11</f>
        <v>3.9642381813769223E-3</v>
      </c>
      <c r="F11" s="95"/>
      <c r="G11" s="95"/>
      <c r="H11" s="174"/>
      <c r="J11" s="140"/>
      <c r="K11" s="273"/>
      <c r="M11" s="277"/>
      <c r="N11" s="104"/>
      <c r="P11" s="168"/>
      <c r="Q11" s="4"/>
      <c r="R11" s="95">
        <f>Menosääntö!AA11</f>
        <v>6.2933721381631062E-3</v>
      </c>
      <c r="S11" s="95">
        <f>Menosääntö!AB11</f>
        <v>6.2933721381631062E-3</v>
      </c>
      <c r="U11" s="95">
        <f>'Menosäännön menojen laskenta'!U11</f>
        <v>3.9642381813769223E-3</v>
      </c>
      <c r="V11" s="95"/>
      <c r="W11" s="95">
        <f t="shared" si="2"/>
        <v>-2.3291339567861839E-3</v>
      </c>
      <c r="X11" s="95">
        <f>'Menosäännön menojen laskenta'!I10/'EDP-velka'!AA48</f>
        <v>0.53834069462771117</v>
      </c>
      <c r="Z11" s="104">
        <f t="shared" si="0"/>
        <v>-1.2538675921772637E-3</v>
      </c>
      <c r="AA11" s="273">
        <f t="shared" si="7"/>
        <v>0</v>
      </c>
      <c r="AB11" s="104">
        <f t="shared" si="8"/>
        <v>-1.73391328544611E-3</v>
      </c>
      <c r="AC11" s="277">
        <f t="shared" si="9"/>
        <v>0</v>
      </c>
      <c r="AD11" s="104">
        <f t="shared" si="1"/>
        <v>-1.2538675921772637E-3</v>
      </c>
      <c r="AE11" s="95">
        <f t="shared" si="10"/>
        <v>-1.73391328544611E-3</v>
      </c>
      <c r="AF11" s="168">
        <f t="shared" si="11"/>
        <v>0</v>
      </c>
      <c r="AG11" s="4"/>
    </row>
    <row r="12" spans="1:33" ht="15" thickBot="1" x14ac:dyDescent="0.25">
      <c r="A12" s="103">
        <v>2018</v>
      </c>
      <c r="B12" s="102">
        <f>Menosääntö!K12</f>
        <v>-5.6434176508104268E-3</v>
      </c>
      <c r="C12" s="102"/>
      <c r="D12" s="103"/>
      <c r="E12" s="102">
        <f>'Menosäännön menojen laskenta'!U12</f>
        <v>1.189365848955859E-2</v>
      </c>
      <c r="F12" s="102"/>
      <c r="G12" s="102"/>
      <c r="H12" s="103"/>
      <c r="I12" s="103"/>
      <c r="J12" s="103"/>
      <c r="K12" s="275"/>
      <c r="L12" s="103"/>
      <c r="M12" s="278"/>
      <c r="N12" s="220"/>
      <c r="O12" s="103"/>
      <c r="P12" s="171"/>
      <c r="Q12" s="28"/>
      <c r="R12" s="102">
        <f>Menosääntö!AA12</f>
        <v>6.2933721381631062E-3</v>
      </c>
      <c r="S12" s="102">
        <f>Menosääntö!AB12</f>
        <v>6.2933721381631062E-3</v>
      </c>
      <c r="T12" s="103"/>
      <c r="U12" s="102">
        <f>'Menosäännön menojen laskenta'!U12</f>
        <v>1.189365848955859E-2</v>
      </c>
      <c r="V12" s="102"/>
      <c r="W12" s="102">
        <f>U12-R12</f>
        <v>5.6002863513954834E-3</v>
      </c>
      <c r="X12" s="102">
        <f>'Menosäännön menojen laskenta'!I11/'EDP-velka'!AA49</f>
        <v>0.53437181114327803</v>
      </c>
      <c r="Y12" s="103"/>
      <c r="Z12" s="220">
        <f t="shared" si="0"/>
        <v>2.992635160516185E-3</v>
      </c>
      <c r="AA12" s="275">
        <f t="shared" si="7"/>
        <v>0</v>
      </c>
      <c r="AB12" s="220">
        <f t="shared" si="8"/>
        <v>8.6938378416946064E-4</v>
      </c>
      <c r="AC12" s="278">
        <f t="shared" si="9"/>
        <v>0</v>
      </c>
      <c r="AD12" s="220">
        <f t="shared" si="1"/>
        <v>2.992635160516185E-3</v>
      </c>
      <c r="AE12" s="102">
        <f t="shared" si="10"/>
        <v>8.6938378416946064E-4</v>
      </c>
      <c r="AF12" s="171">
        <f t="shared" si="11"/>
        <v>0</v>
      </c>
      <c r="AG12" s="28"/>
    </row>
    <row r="13" spans="1:33" ht="15" thickTop="1" x14ac:dyDescent="0.2">
      <c r="Q13" s="4"/>
      <c r="AB13" s="207"/>
      <c r="AC13" s="207"/>
      <c r="AG13" s="4"/>
    </row>
    <row r="14" spans="1:33" ht="15" x14ac:dyDescent="0.25">
      <c r="Q14" s="4"/>
      <c r="R14" s="219" t="s">
        <v>302</v>
      </c>
      <c r="AB14" s="207"/>
      <c r="AC14" s="207"/>
      <c r="AG14" s="4"/>
    </row>
    <row r="15" spans="1:33" x14ac:dyDescent="0.2">
      <c r="K15" s="279"/>
      <c r="Q15" s="4"/>
      <c r="R15" s="95">
        <f>Menosääntö!AA16</f>
        <v>3.0614295419185361E-3</v>
      </c>
      <c r="S15" s="95">
        <f>Menosääntö!AB16</f>
        <v>3.0614295419185361E-3</v>
      </c>
      <c r="T15" s="148"/>
      <c r="U15" s="105">
        <f>U11</f>
        <v>3.9642381813769223E-3</v>
      </c>
      <c r="V15" s="105"/>
      <c r="W15" s="105">
        <f>U15-R15</f>
        <v>9.0280863945838615E-4</v>
      </c>
      <c r="X15" s="105">
        <f>X11</f>
        <v>0.53834069462771117</v>
      </c>
      <c r="Y15" s="148"/>
      <c r="Z15" s="104">
        <f>(U15-R15)*X15</f>
        <v>4.8601863008192647E-4</v>
      </c>
      <c r="AA15" s="279">
        <f>IF(Z15&gt;0.005,1,0)</f>
        <v>0</v>
      </c>
      <c r="AB15" s="110">
        <f>(Z15+Z10)/2</f>
        <v>-8.6397017431651504E-4</v>
      </c>
      <c r="AC15" s="277">
        <f>IF(AB15&gt;0.0025,1,0)</f>
        <v>0</v>
      </c>
      <c r="AD15" s="104">
        <f>(U15-S15)*X15</f>
        <v>4.8601863008192647E-4</v>
      </c>
      <c r="AE15" s="110">
        <f>(AD15+AD10)/2</f>
        <v>-8.6397017431651504E-4</v>
      </c>
      <c r="AF15" s="168">
        <f t="shared" ref="AF15:AF16" si="12">IF(OR(AA15=1,AC15=1),1,0)</f>
        <v>0</v>
      </c>
      <c r="AG15" s="4"/>
    </row>
    <row r="16" spans="1:33" x14ac:dyDescent="0.2">
      <c r="K16" s="279"/>
      <c r="Q16" s="4"/>
      <c r="R16" s="95">
        <f>Menosääntö!AA17</f>
        <v>3.0614295419185361E-3</v>
      </c>
      <c r="S16" s="95">
        <f>Menosääntö!AB17</f>
        <v>3.0614295419185361E-3</v>
      </c>
      <c r="T16" s="148"/>
      <c r="U16" s="105">
        <f>U12</f>
        <v>1.189365848955859E-2</v>
      </c>
      <c r="V16" s="105"/>
      <c r="W16" s="105">
        <f>U16-R16</f>
        <v>8.8322289476400542E-3</v>
      </c>
      <c r="X16" s="105">
        <f>X12</f>
        <v>0.53437181114327803</v>
      </c>
      <c r="Y16" s="148"/>
      <c r="Z16" s="104">
        <f>(U16-R16)*X16</f>
        <v>4.7196941791825047E-3</v>
      </c>
      <c r="AA16" s="279">
        <f t="shared" ref="AA16" si="13">IF(Z16&gt;0.005,1,0)</f>
        <v>0</v>
      </c>
      <c r="AB16" s="104">
        <f>(Z16+Z15)/2</f>
        <v>2.6028564046322155E-3</v>
      </c>
      <c r="AC16" s="277">
        <f>IF(AB16&gt;0.0025,1,0)</f>
        <v>1</v>
      </c>
      <c r="AD16" s="104">
        <f>(U16-S16)*X16</f>
        <v>4.7196941791825047E-3</v>
      </c>
      <c r="AE16" s="104">
        <f>(AD16+AD15)/2</f>
        <v>2.6028564046322155E-3</v>
      </c>
      <c r="AF16" s="168">
        <f t="shared" si="12"/>
        <v>1</v>
      </c>
      <c r="AG16" s="4"/>
    </row>
  </sheetData>
  <mergeCells count="2">
    <mergeCell ref="R1:AE1"/>
    <mergeCell ref="B1:O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AG25"/>
  <sheetViews>
    <sheetView workbookViewId="0">
      <pane xSplit="1" topLeftCell="M1" activePane="topRight" state="frozen"/>
      <selection pane="topRight"/>
    </sheetView>
  </sheetViews>
  <sheetFormatPr defaultRowHeight="14.25" x14ac:dyDescent="0.2"/>
  <cols>
    <col min="1" max="1" width="13.75" style="140" customWidth="1"/>
    <col min="2" max="2" width="14.625" customWidth="1"/>
    <col min="3" max="3" width="17.75" style="140" customWidth="1"/>
    <col min="4" max="4" width="16.5" style="140" customWidth="1"/>
    <col min="5" max="5" width="16" customWidth="1"/>
    <col min="6" max="6" width="19.375" style="140" customWidth="1"/>
    <col min="7" max="7" width="19.25" style="140" customWidth="1"/>
    <col min="8" max="8" width="18" style="140" customWidth="1"/>
    <col min="9" max="9" width="18.625" style="140" customWidth="1"/>
    <col min="10" max="10" width="3" style="140" customWidth="1"/>
    <col min="11" max="11" width="23" style="140" customWidth="1"/>
    <col min="12" max="13" width="19.875" style="140" customWidth="1"/>
    <col min="14" max="14" width="6.25" style="140" customWidth="1"/>
    <col min="15" max="16" width="19.875" style="140" customWidth="1"/>
    <col min="18" max="18" width="17.625" customWidth="1"/>
    <col min="19" max="19" width="18.875" customWidth="1"/>
    <col min="20" max="20" width="17.375" customWidth="1"/>
    <col min="21" max="21" width="20.75" customWidth="1"/>
    <col min="22" max="22" width="16.625" customWidth="1"/>
    <col min="23" max="23" width="18.875" customWidth="1"/>
    <col min="24" max="24" width="20.625" customWidth="1"/>
    <col min="25" max="25" width="15.25" customWidth="1"/>
    <col min="26" max="26" width="4.25" customWidth="1"/>
    <col min="27" max="27" width="21" customWidth="1"/>
    <col min="28" max="28" width="21.625" customWidth="1"/>
    <col min="29" max="29" width="14" customWidth="1"/>
    <col min="30" max="30" width="3.875" style="140" customWidth="1"/>
    <col min="31" max="31" width="17.75" customWidth="1"/>
    <col min="32" max="32" width="17.5" customWidth="1"/>
  </cols>
  <sheetData>
    <row r="1" spans="1:33" s="140" customFormat="1" ht="22.5" x14ac:dyDescent="0.3">
      <c r="B1" s="308" t="s">
        <v>58</v>
      </c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187"/>
      <c r="O1" s="187"/>
      <c r="P1" s="187"/>
      <c r="R1" s="308" t="s">
        <v>59</v>
      </c>
      <c r="S1" s="308"/>
      <c r="T1" s="308"/>
      <c r="U1" s="308"/>
      <c r="V1" s="308"/>
      <c r="W1" s="308"/>
      <c r="X1" s="308"/>
      <c r="Y1" s="308"/>
      <c r="Z1" s="308"/>
      <c r="AA1" s="308"/>
      <c r="AB1" s="308"/>
      <c r="AC1" s="308"/>
      <c r="AD1" s="187"/>
    </row>
    <row r="2" spans="1:33" ht="57" x14ac:dyDescent="0.2">
      <c r="B2" s="96" t="s">
        <v>270</v>
      </c>
      <c r="C2" s="185" t="s">
        <v>294</v>
      </c>
      <c r="D2" s="185" t="s">
        <v>310</v>
      </c>
      <c r="E2" s="96" t="s">
        <v>271</v>
      </c>
      <c r="F2" s="185" t="s">
        <v>295</v>
      </c>
      <c r="G2" s="96" t="s">
        <v>412</v>
      </c>
      <c r="H2" s="185" t="s">
        <v>297</v>
      </c>
      <c r="I2" s="185" t="s">
        <v>300</v>
      </c>
      <c r="J2" s="96"/>
      <c r="K2" s="185" t="s">
        <v>311</v>
      </c>
      <c r="L2" s="185" t="s">
        <v>312</v>
      </c>
      <c r="M2" s="185" t="s">
        <v>301</v>
      </c>
      <c r="N2" s="188"/>
      <c r="O2" s="188" t="s">
        <v>318</v>
      </c>
      <c r="P2" s="188" t="s">
        <v>319</v>
      </c>
      <c r="Q2" s="4"/>
      <c r="R2" s="185" t="s">
        <v>270</v>
      </c>
      <c r="S2" s="185" t="s">
        <v>294</v>
      </c>
      <c r="T2" s="185" t="s">
        <v>310</v>
      </c>
      <c r="U2" s="185" t="s">
        <v>271</v>
      </c>
      <c r="V2" s="185" t="s">
        <v>295</v>
      </c>
      <c r="W2" s="185" t="s">
        <v>296</v>
      </c>
      <c r="X2" s="185" t="s">
        <v>297</v>
      </c>
      <c r="Y2" s="185" t="s">
        <v>300</v>
      </c>
      <c r="Z2" s="185"/>
      <c r="AA2" s="185" t="s">
        <v>311</v>
      </c>
      <c r="AB2" s="185" t="s">
        <v>312</v>
      </c>
      <c r="AC2" s="185" t="s">
        <v>301</v>
      </c>
      <c r="AD2" s="188"/>
      <c r="AE2" s="188" t="s">
        <v>318</v>
      </c>
      <c r="AF2" s="188" t="s">
        <v>319</v>
      </c>
      <c r="AG2" s="4"/>
    </row>
    <row r="3" spans="1:33" ht="19.5" customHeight="1" thickBot="1" x14ac:dyDescent="0.25">
      <c r="A3" s="103" t="s">
        <v>309</v>
      </c>
      <c r="B3" s="103"/>
      <c r="C3" s="101" t="s">
        <v>438</v>
      </c>
      <c r="D3" s="101" t="s">
        <v>438</v>
      </c>
      <c r="E3" s="103"/>
      <c r="F3" s="103"/>
      <c r="G3" s="103"/>
      <c r="H3" s="103"/>
      <c r="I3" s="101" t="s">
        <v>225</v>
      </c>
      <c r="J3" s="103"/>
      <c r="K3" s="103"/>
      <c r="L3" s="103"/>
      <c r="M3" s="103"/>
      <c r="N3" s="103"/>
      <c r="O3" s="103"/>
      <c r="P3" s="103"/>
      <c r="Q3" s="28"/>
      <c r="R3" s="103"/>
      <c r="S3" s="101" t="s">
        <v>438</v>
      </c>
      <c r="T3" s="103"/>
      <c r="U3" s="103"/>
      <c r="V3" s="103"/>
      <c r="W3" s="103"/>
      <c r="X3" s="103"/>
      <c r="Y3" s="101" t="s">
        <v>225</v>
      </c>
      <c r="Z3" s="103"/>
      <c r="AA3" s="103"/>
      <c r="AB3" s="103"/>
      <c r="AC3" s="103"/>
      <c r="AD3" s="103"/>
      <c r="AE3" s="103"/>
      <c r="AF3" s="103"/>
      <c r="AG3" s="28"/>
    </row>
    <row r="4" spans="1:33" s="140" customFormat="1" ht="19.5" customHeight="1" thickTop="1" x14ac:dyDescent="0.2">
      <c r="A4" s="31">
        <v>2010</v>
      </c>
      <c r="B4" s="31"/>
      <c r="C4" s="95">
        <f>'Menosäännön menojen laskenta'!B4/'EDP-velka'!G41</f>
        <v>0.55477160314227525</v>
      </c>
      <c r="D4" s="31"/>
      <c r="E4" s="31"/>
      <c r="F4" s="31"/>
      <c r="G4" s="31"/>
      <c r="H4" s="31"/>
      <c r="I4" s="24"/>
      <c r="J4" s="31"/>
      <c r="K4" s="31"/>
      <c r="L4" s="31"/>
      <c r="M4" s="31"/>
      <c r="N4" s="31"/>
      <c r="O4" s="31"/>
      <c r="P4" s="31"/>
      <c r="Q4" s="98"/>
      <c r="R4" s="31"/>
      <c r="S4" s="31"/>
      <c r="T4" s="31"/>
      <c r="U4" s="31"/>
      <c r="V4" s="31"/>
      <c r="W4" s="31"/>
      <c r="X4" s="31"/>
      <c r="Y4" s="24"/>
      <c r="Z4" s="31"/>
      <c r="AA4" s="31"/>
      <c r="AB4" s="31"/>
      <c r="AC4" s="31"/>
      <c r="AD4" s="31"/>
      <c r="AE4" s="31"/>
      <c r="AF4" s="31"/>
      <c r="AG4" s="98"/>
    </row>
    <row r="5" spans="1:33" x14ac:dyDescent="0.2">
      <c r="A5" s="140">
        <v>2011</v>
      </c>
      <c r="B5" s="95">
        <v>1.3999999999999999E-2</v>
      </c>
      <c r="C5" s="95">
        <f>'Menosäännön menojen laskenta'!B5/'EDP-velka'!G42</f>
        <v>0.54809689314627219</v>
      </c>
      <c r="D5" s="95"/>
      <c r="E5" s="104">
        <v>8.9999999999999993E-3</v>
      </c>
      <c r="F5" s="95">
        <f>'Poikkeama rak.jäämästä'!H10</f>
        <v>1E-3</v>
      </c>
      <c r="G5" s="95">
        <f>F5/D7</f>
        <v>1.8007728001571263E-3</v>
      </c>
      <c r="H5" s="95">
        <f>F5/$D$7</f>
        <v>1.8007728001571263E-3</v>
      </c>
      <c r="I5" s="148">
        <f>'Poikkeama rak.jäämästä'!E9</f>
        <v>0</v>
      </c>
      <c r="K5" s="95">
        <f>IF(I5=1,B5,B5-E5)</f>
        <v>4.9999999999999992E-3</v>
      </c>
      <c r="L5" s="95">
        <f>IF(I5=1,B5,B5-H5)</f>
        <v>1.2199227199842871E-2</v>
      </c>
      <c r="M5" s="95">
        <f>K5-L5</f>
        <v>-7.1992271998428722E-3</v>
      </c>
      <c r="N5" s="95"/>
      <c r="O5" s="95">
        <f>B5</f>
        <v>1.3999999999999999E-2</v>
      </c>
      <c r="P5" s="95">
        <f>B5-E5</f>
        <v>4.9999999999999992E-3</v>
      </c>
      <c r="Q5" s="4"/>
      <c r="R5" s="95">
        <v>1.3999999999999999E-2</v>
      </c>
      <c r="S5" s="95">
        <f>'Menosäännön menojen laskenta'!B5/'EDP-velka'!AA42</f>
        <v>0.54809689314627219</v>
      </c>
      <c r="U5" s="104">
        <v>8.9999999999999993E-3</v>
      </c>
      <c r="V5" s="95">
        <f>'Poikkeama rak.jäämästä'!U10</f>
        <v>1E-3</v>
      </c>
      <c r="W5" s="95">
        <f>V5/T7</f>
        <v>1.7998887067379957E-3</v>
      </c>
      <c r="X5" s="95">
        <f>V5/$T$7</f>
        <v>1.7998887067379957E-3</v>
      </c>
      <c r="Y5" s="148">
        <f>'Poikkeama rak.jäämästä'!R9</f>
        <v>0</v>
      </c>
      <c r="AA5" s="95">
        <f>IF(Y5=1,R5,R5-U5)</f>
        <v>4.9999999999999992E-3</v>
      </c>
      <c r="AB5" s="95">
        <f>IF(Y5=1,R5,R5-W5)</f>
        <v>1.2200111293262003E-2</v>
      </c>
      <c r="AC5" s="105">
        <f>AA5-AB5</f>
        <v>-7.2001112932620036E-3</v>
      </c>
      <c r="AD5" s="105"/>
      <c r="AE5" s="95">
        <f>R5</f>
        <v>1.3999999999999999E-2</v>
      </c>
      <c r="AF5" s="95">
        <f>R5-U5</f>
        <v>4.9999999999999992E-3</v>
      </c>
      <c r="AG5" s="4"/>
    </row>
    <row r="6" spans="1:33" x14ac:dyDescent="0.2">
      <c r="A6" s="140">
        <v>2012</v>
      </c>
      <c r="B6" s="95">
        <v>1.3999999999999999E-2</v>
      </c>
      <c r="C6" s="95">
        <f>'Menosäännön menojen laskenta'!B6/'EDP-velka'!G43</f>
        <v>0.56308292175721342</v>
      </c>
      <c r="D6" s="95"/>
      <c r="E6" s="104">
        <v>9.0000000000000011E-3</v>
      </c>
      <c r="F6" s="95">
        <f>'Poikkeama rak.jäämästä'!H11</f>
        <v>5.0000000000000001E-3</v>
      </c>
      <c r="G6" s="104">
        <f>E6</f>
        <v>9.0000000000000011E-3</v>
      </c>
      <c r="H6" s="104">
        <f>F6/$D$7</f>
        <v>9.0038640007856323E-3</v>
      </c>
      <c r="I6" s="148">
        <f>'Poikkeama rak.jäämästä'!E10</f>
        <v>0</v>
      </c>
      <c r="K6" s="95">
        <f t="shared" ref="K6:K8" si="0">IF(I6=1,B6,B6-E6)</f>
        <v>4.9999999999999975E-3</v>
      </c>
      <c r="L6" s="95">
        <f t="shared" ref="L6:L8" si="1">IF(I6=1,B6,B6-H6)</f>
        <v>4.9961359992143663E-3</v>
      </c>
      <c r="M6" s="95">
        <f t="shared" ref="M6:M9" si="2">K6-L6</f>
        <v>3.8640007856312331E-6</v>
      </c>
      <c r="N6" s="95"/>
      <c r="O6" s="95">
        <f t="shared" ref="O6:O12" si="3">B6</f>
        <v>1.3999999999999999E-2</v>
      </c>
      <c r="P6" s="95">
        <f t="shared" ref="P6:P12" si="4">B6-E6</f>
        <v>4.9999999999999975E-3</v>
      </c>
      <c r="Q6" s="4"/>
      <c r="R6" s="95">
        <v>1.3999999999999999E-2</v>
      </c>
      <c r="S6" s="95">
        <f>'Menosäännön menojen laskenta'!B6/'EDP-velka'!AA43</f>
        <v>0.56308292175721342</v>
      </c>
      <c r="U6" s="104">
        <v>9.0000000000000011E-3</v>
      </c>
      <c r="V6" s="95">
        <f>'Poikkeama rak.jäämästä'!U11</f>
        <v>5.0000000000000001E-3</v>
      </c>
      <c r="W6" s="105">
        <f>U6</f>
        <v>9.0000000000000011E-3</v>
      </c>
      <c r="X6" s="95">
        <f t="shared" ref="X6:X10" si="5">V6/$T$7</f>
        <v>8.9994435336899787E-3</v>
      </c>
      <c r="Y6" s="148">
        <f>'Poikkeama rak.jäämästä'!R10</f>
        <v>0</v>
      </c>
      <c r="AA6" s="95">
        <f t="shared" ref="AA6:AA11" si="6">IF(Y6=1,R6,R6-U6)</f>
        <v>4.9999999999999975E-3</v>
      </c>
      <c r="AB6" s="95">
        <f t="shared" ref="AB6:AB12" si="7">IF(Y6=1,R6,R6-W6)</f>
        <v>4.9999999999999975E-3</v>
      </c>
      <c r="AC6" s="105">
        <f t="shared" ref="AC6:AC12" si="8">AA6-AB6</f>
        <v>0</v>
      </c>
      <c r="AD6" s="105"/>
      <c r="AE6" s="95">
        <f t="shared" ref="AE6:AE12" si="9">R6</f>
        <v>1.3999999999999999E-2</v>
      </c>
      <c r="AF6" s="95">
        <f t="shared" ref="AF6:AF12" si="10">R6-U6</f>
        <v>4.9999999999999975E-3</v>
      </c>
      <c r="AG6" s="4"/>
    </row>
    <row r="7" spans="1:33" x14ac:dyDescent="0.2">
      <c r="A7" s="140">
        <v>2013</v>
      </c>
      <c r="B7" s="95">
        <v>1.3999999999999999E-2</v>
      </c>
      <c r="C7" s="95">
        <f>'Menosäännön menojen laskenta'!B7/'EDP-velka'!G44</f>
        <v>0.57552562139873376</v>
      </c>
      <c r="D7" s="104">
        <f>AVERAGE(C4:C6)</f>
        <v>0.55531713934858695</v>
      </c>
      <c r="E7" s="104">
        <f>0.005/$D$7</f>
        <v>9.0038640007856323E-3</v>
      </c>
      <c r="F7" s="95">
        <f>'Poikkeama rak.jäämästä'!H12</f>
        <v>5.0000000000000001E-3</v>
      </c>
      <c r="G7" s="104">
        <f>IF(I7=1,0,IF(G6=0,F6/$D$7,G6*(F7/F6)))</f>
        <v>9.0000000000000011E-3</v>
      </c>
      <c r="H7" s="104">
        <f>F7/$D$7</f>
        <v>9.0038640007856323E-3</v>
      </c>
      <c r="I7" s="148">
        <f>'Poikkeama rak.jäämästä'!E11</f>
        <v>0</v>
      </c>
      <c r="K7" s="95">
        <f t="shared" si="0"/>
        <v>4.9961359992143663E-3</v>
      </c>
      <c r="L7" s="95">
        <f t="shared" si="1"/>
        <v>4.9961359992143663E-3</v>
      </c>
      <c r="M7" s="95">
        <f t="shared" si="2"/>
        <v>0</v>
      </c>
      <c r="N7" s="95"/>
      <c r="O7" s="95">
        <f t="shared" si="3"/>
        <v>1.3999999999999999E-2</v>
      </c>
      <c r="P7" s="95">
        <f t="shared" si="4"/>
        <v>4.9961359992143663E-3</v>
      </c>
      <c r="Q7" s="4"/>
      <c r="R7" s="95">
        <v>1.3999999999999999E-2</v>
      </c>
      <c r="S7" s="95">
        <f>'Menosäännön menojen laskenta'!B7/'EDP-velka'!AA44</f>
        <v>0.58010886927932259</v>
      </c>
      <c r="T7" s="105">
        <f>AVERAGE(S5:S6)</f>
        <v>0.55558990745174275</v>
      </c>
      <c r="U7" s="104">
        <f>0.005/$T$7</f>
        <v>8.9994435336899787E-3</v>
      </c>
      <c r="V7" s="95">
        <f>'Poikkeama rak.jäämästä'!U12</f>
        <v>5.0000000000000001E-3</v>
      </c>
      <c r="W7" s="95">
        <f>IF(Y7=1,0,IF(W6=0,V6/$T$7,W6*(V7/V6)))</f>
        <v>9.0000000000000011E-3</v>
      </c>
      <c r="X7" s="95">
        <f t="shared" si="5"/>
        <v>8.9994435336899787E-3</v>
      </c>
      <c r="Y7" s="148">
        <f>'Poikkeama rak.jäämästä'!R11</f>
        <v>0</v>
      </c>
      <c r="AA7" s="95">
        <f>IF(Y7=1,R7,R7-U7)</f>
        <v>5.0005564663100199E-3</v>
      </c>
      <c r="AB7" s="95">
        <f t="shared" si="7"/>
        <v>4.9999999999999975E-3</v>
      </c>
      <c r="AC7" s="105">
        <f t="shared" si="8"/>
        <v>5.5646631002236047E-7</v>
      </c>
      <c r="AD7" s="105"/>
      <c r="AE7" s="95">
        <f t="shared" si="9"/>
        <v>1.3999999999999999E-2</v>
      </c>
      <c r="AF7" s="95">
        <f t="shared" si="10"/>
        <v>5.0005564663100199E-3</v>
      </c>
      <c r="AG7" s="4"/>
    </row>
    <row r="8" spans="1:33" x14ac:dyDescent="0.2">
      <c r="A8" s="140">
        <v>2014</v>
      </c>
      <c r="B8" s="95">
        <v>8.0000000000000002E-3</v>
      </c>
      <c r="C8" s="95">
        <f>'Menosäännön menojen laskenta'!B8/'EDP-velka'!G45</f>
        <v>0.5775565710394257</v>
      </c>
      <c r="D8" s="95"/>
      <c r="E8" s="104">
        <f t="shared" ref="E8:E9" si="11">0.005/$D$7</f>
        <v>9.0038640007856323E-3</v>
      </c>
      <c r="F8" s="95">
        <f>'Poikkeama rak.jäämästä'!H13</f>
        <v>0</v>
      </c>
      <c r="G8" s="104">
        <f t="shared" ref="G8" si="12">IF(I8=1,0,IF(G7=0,F7/$D$7,G7*(F8/F7)))</f>
        <v>0</v>
      </c>
      <c r="H8" s="104">
        <f>F8/$D$7</f>
        <v>0</v>
      </c>
      <c r="I8" s="148">
        <f>'Poikkeama rak.jäämästä'!E12</f>
        <v>1</v>
      </c>
      <c r="K8" s="95">
        <f t="shared" si="0"/>
        <v>8.0000000000000002E-3</v>
      </c>
      <c r="L8" s="95">
        <f t="shared" si="1"/>
        <v>8.0000000000000002E-3</v>
      </c>
      <c r="M8" s="95">
        <f t="shared" si="2"/>
        <v>0</v>
      </c>
      <c r="N8" s="95"/>
      <c r="O8" s="95">
        <f t="shared" si="3"/>
        <v>8.0000000000000002E-3</v>
      </c>
      <c r="P8" s="95">
        <f t="shared" si="4"/>
        <v>-1.0038640007856321E-3</v>
      </c>
      <c r="Q8" s="4"/>
      <c r="R8" s="95">
        <v>8.0000000000000002E-3</v>
      </c>
      <c r="S8" s="95">
        <f>'Menosäännön menojen laskenta'!B8/'EDP-velka'!AA45</f>
        <v>0.58415061879545349</v>
      </c>
      <c r="T8" s="148"/>
      <c r="U8" s="104">
        <f t="shared" ref="U8:U10" si="13">0.005/$T$7</f>
        <v>8.9994435336899787E-3</v>
      </c>
      <c r="V8" s="95">
        <f>'Poikkeama rak.jäämästä'!U13</f>
        <v>0</v>
      </c>
      <c r="W8" s="95">
        <f>IF(Y8=1,0,IF(W7=0,V8/$T$7,W7*(V8/V7)))</f>
        <v>0</v>
      </c>
      <c r="X8" s="95">
        <f t="shared" si="5"/>
        <v>0</v>
      </c>
      <c r="Y8" s="148">
        <f>'Poikkeama rak.jäämästä'!R12</f>
        <v>1</v>
      </c>
      <c r="AA8" s="95">
        <f t="shared" si="6"/>
        <v>8.0000000000000002E-3</v>
      </c>
      <c r="AB8" s="95">
        <f t="shared" si="7"/>
        <v>8.0000000000000002E-3</v>
      </c>
      <c r="AC8" s="105">
        <f t="shared" si="8"/>
        <v>0</v>
      </c>
      <c r="AD8" s="105"/>
      <c r="AE8" s="95">
        <f t="shared" si="9"/>
        <v>8.0000000000000002E-3</v>
      </c>
      <c r="AF8" s="95">
        <f t="shared" si="10"/>
        <v>-9.9944353368997853E-4</v>
      </c>
      <c r="AG8" s="4"/>
    </row>
    <row r="9" spans="1:33" x14ac:dyDescent="0.2">
      <c r="A9" s="140">
        <v>2015</v>
      </c>
      <c r="B9" s="95">
        <v>8.0000000000000002E-3</v>
      </c>
      <c r="C9" s="95">
        <f>'Menosäännön menojen laskenta'!B9/'EDP-velka'!G46</f>
        <v>0.57009567247936477</v>
      </c>
      <c r="D9" s="95"/>
      <c r="E9" s="104">
        <f t="shared" si="11"/>
        <v>9.0038640007856323E-3</v>
      </c>
      <c r="F9" s="95">
        <f>'Poikkeama rak.jäämästä'!H14</f>
        <v>3.3575187100202538E-3</v>
      </c>
      <c r="G9" s="104">
        <f>IF(I9=1,0,IF(G8=0,F9/$D$7,G8*(F9/F8)))</f>
        <v>6.0461283690231146E-3</v>
      </c>
      <c r="H9" s="95">
        <f>F9/$D$7</f>
        <v>6.0461283690231146E-3</v>
      </c>
      <c r="I9" s="148">
        <f>'Poikkeama rak.jäämästä'!E13</f>
        <v>0</v>
      </c>
      <c r="K9" s="95">
        <f>IF(I9=1,B9,B9-E9)</f>
        <v>-1.0038640007856321E-3</v>
      </c>
      <c r="L9" s="95">
        <f>IF(I9=1,B9,B9-H9)</f>
        <v>1.9538716309768856E-3</v>
      </c>
      <c r="M9" s="95">
        <f t="shared" si="2"/>
        <v>-2.9577356317625177E-3</v>
      </c>
      <c r="N9" s="95"/>
      <c r="O9" s="95">
        <f t="shared" si="3"/>
        <v>8.0000000000000002E-3</v>
      </c>
      <c r="P9" s="95">
        <f t="shared" si="4"/>
        <v>-1.0038640007856321E-3</v>
      </c>
      <c r="Q9" s="4"/>
      <c r="R9" s="95">
        <v>8.0000000000000002E-3</v>
      </c>
      <c r="S9" s="95">
        <f>'Menosäännön menojen laskenta'!B9/'EDP-velka'!AA46</f>
        <v>0.5791168247141335</v>
      </c>
      <c r="T9" s="148"/>
      <c r="U9" s="104">
        <f t="shared" si="13"/>
        <v>8.9994435336899787E-3</v>
      </c>
      <c r="V9" s="95">
        <f>'Poikkeama rak.jäämästä'!U14</f>
        <v>1E-3</v>
      </c>
      <c r="W9" s="95">
        <f>IF(Y9=1,0,IF(W8=0,V9/$T$7,W8*(V9/V8)))</f>
        <v>1.7998887067379957E-3</v>
      </c>
      <c r="X9" s="95">
        <f t="shared" si="5"/>
        <v>1.7998887067379957E-3</v>
      </c>
      <c r="Y9" s="148">
        <f>'Poikkeama rak.jäämästä'!R13</f>
        <v>0</v>
      </c>
      <c r="AA9" s="95">
        <f>IF(Y9=1,R9,R9-U9)</f>
        <v>-9.9944353368997853E-4</v>
      </c>
      <c r="AB9" s="95">
        <f t="shared" si="7"/>
        <v>6.2001112932620044E-3</v>
      </c>
      <c r="AC9" s="105">
        <f t="shared" si="8"/>
        <v>-7.199554826951983E-3</v>
      </c>
      <c r="AD9" s="105"/>
      <c r="AE9" s="95">
        <f t="shared" si="9"/>
        <v>8.0000000000000002E-3</v>
      </c>
      <c r="AF9" s="95">
        <f t="shared" si="10"/>
        <v>-9.9944353368997853E-4</v>
      </c>
      <c r="AG9" s="4"/>
    </row>
    <row r="10" spans="1:33" x14ac:dyDescent="0.2">
      <c r="A10" s="140">
        <v>2016</v>
      </c>
      <c r="B10" s="95">
        <v>8.0000000000000002E-3</v>
      </c>
      <c r="C10" s="95"/>
      <c r="D10" s="95">
        <f>AVERAGE(C7:C9)</f>
        <v>0.57439262163917482</v>
      </c>
      <c r="E10" s="104">
        <f>0.005/$D$7</f>
        <v>9.0038640007856323E-3</v>
      </c>
      <c r="F10" s="148"/>
      <c r="G10" s="15"/>
      <c r="H10" s="15"/>
      <c r="I10" s="148">
        <f>'Poikkeama rak.jäämästä'!E14</f>
        <v>0</v>
      </c>
      <c r="K10" s="95">
        <f>IF(I10=1,B10,B10-E10)</f>
        <v>-1.0038640007856321E-3</v>
      </c>
      <c r="L10" s="148"/>
      <c r="M10" s="148"/>
      <c r="N10" s="148"/>
      <c r="O10" s="95">
        <f t="shared" si="3"/>
        <v>8.0000000000000002E-3</v>
      </c>
      <c r="P10" s="95">
        <f t="shared" si="4"/>
        <v>-1.0038640007856321E-3</v>
      </c>
      <c r="Q10" s="4"/>
      <c r="R10" s="95">
        <v>8.0000000000000002E-3</v>
      </c>
      <c r="S10" s="95">
        <f>'Menosäännön menojen laskenta'!B10/'EDP-velka'!AA47</f>
        <v>0.57559909899288886</v>
      </c>
      <c r="T10" s="105">
        <f>AVERAGE(S7:S9)</f>
        <v>0.5811254375963032</v>
      </c>
      <c r="U10" s="104">
        <f t="shared" si="13"/>
        <v>8.9994435336899787E-3</v>
      </c>
      <c r="V10" s="95">
        <f>'Poikkeama rak.jäämästä'!U15</f>
        <v>0</v>
      </c>
      <c r="W10" s="95">
        <f>IF(Y10=1,0,IF(W9=0,V10/$T$7,W9*(V10/V9)))</f>
        <v>0</v>
      </c>
      <c r="X10" s="95">
        <f t="shared" si="5"/>
        <v>0</v>
      </c>
      <c r="Y10" s="148">
        <f>'Poikkeama rak.jäämästä'!R14</f>
        <v>1</v>
      </c>
      <c r="AA10" s="95">
        <f t="shared" si="6"/>
        <v>8.0000000000000002E-3</v>
      </c>
      <c r="AB10" s="95">
        <f t="shared" si="7"/>
        <v>8.0000000000000002E-3</v>
      </c>
      <c r="AC10" s="105">
        <f t="shared" si="8"/>
        <v>0</v>
      </c>
      <c r="AD10" s="105"/>
      <c r="AE10" s="95">
        <f t="shared" si="9"/>
        <v>8.0000000000000002E-3</v>
      </c>
      <c r="AF10" s="95">
        <f t="shared" si="10"/>
        <v>-9.9944353368997853E-4</v>
      </c>
      <c r="AG10" s="4"/>
    </row>
    <row r="11" spans="1:33" x14ac:dyDescent="0.2">
      <c r="A11" s="140">
        <v>2017</v>
      </c>
      <c r="B11" s="95">
        <f>AVERAGE('Pot.tuot ja tuotantokuilu'!F59:F68)</f>
        <v>3.0614295419185361E-3</v>
      </c>
      <c r="C11" s="95"/>
      <c r="D11" s="95"/>
      <c r="E11" s="104">
        <f>0.005/$D$10</f>
        <v>8.7048471927289629E-3</v>
      </c>
      <c r="F11" s="148"/>
      <c r="G11" s="15"/>
      <c r="H11" s="15"/>
      <c r="I11" s="148"/>
      <c r="K11" s="95">
        <f t="shared" ref="K11" si="14">IF(I11=1,B11,B11-E11)</f>
        <v>-5.6434176508104268E-3</v>
      </c>
      <c r="O11" s="95">
        <f t="shared" si="3"/>
        <v>3.0614295419185361E-3</v>
      </c>
      <c r="P11" s="95">
        <f t="shared" si="4"/>
        <v>-5.6434176508104268E-3</v>
      </c>
      <c r="Q11" s="4"/>
      <c r="R11" s="95">
        <f>AVERAGE('Pot.tuot ja tuotantokuilu'!L59:L68)</f>
        <v>6.2933721381631062E-3</v>
      </c>
      <c r="S11" s="95">
        <f>'Menosäännön menojen laskenta'!B11/'EDP-velka'!AA48</f>
        <v>0.57262607169614477</v>
      </c>
      <c r="U11" s="104">
        <f>0.005/$T$10</f>
        <v>8.6039943814564274E-3</v>
      </c>
      <c r="V11" s="95">
        <f>'Poikkeama rak.jäämästä'!U16</f>
        <v>0</v>
      </c>
      <c r="W11" s="95">
        <f>IF(Y11=1,0,IF(W10=0,V11/$T$10,W10*(V11/V10)))</f>
        <v>0</v>
      </c>
      <c r="X11" s="95">
        <f>V11/$T$10</f>
        <v>0</v>
      </c>
      <c r="Y11" s="148">
        <f>'Poikkeama rak.jäämästä'!R15</f>
        <v>1</v>
      </c>
      <c r="AA11" s="95">
        <f t="shared" si="6"/>
        <v>6.2933721381631062E-3</v>
      </c>
      <c r="AB11" s="95">
        <f t="shared" si="7"/>
        <v>6.2933721381631062E-3</v>
      </c>
      <c r="AC11" s="105">
        <f t="shared" si="8"/>
        <v>0</v>
      </c>
      <c r="AD11" s="105"/>
      <c r="AE11" s="95">
        <f t="shared" si="9"/>
        <v>6.2933721381631062E-3</v>
      </c>
      <c r="AF11" s="95">
        <f t="shared" si="10"/>
        <v>-2.3106222432933213E-3</v>
      </c>
      <c r="AG11" s="4"/>
    </row>
    <row r="12" spans="1:33" ht="15" thickBot="1" x14ac:dyDescent="0.25">
      <c r="A12" s="103">
        <v>2018</v>
      </c>
      <c r="B12" s="102">
        <f>B11</f>
        <v>3.0614295419185361E-3</v>
      </c>
      <c r="C12" s="102"/>
      <c r="D12" s="102"/>
      <c r="E12" s="220">
        <f t="shared" ref="E12" si="15">0.005/$D$10</f>
        <v>8.7048471927289629E-3</v>
      </c>
      <c r="F12" s="101"/>
      <c r="G12" s="103"/>
      <c r="H12" s="220"/>
      <c r="I12" s="103"/>
      <c r="J12" s="103"/>
      <c r="K12" s="102">
        <f>IF(I12=1,B12,B12-E12)</f>
        <v>-5.6434176508104268E-3</v>
      </c>
      <c r="L12" s="103"/>
      <c r="M12" s="103"/>
      <c r="N12" s="103"/>
      <c r="O12" s="102">
        <f t="shared" si="3"/>
        <v>3.0614295419185361E-3</v>
      </c>
      <c r="P12" s="102">
        <f t="shared" si="4"/>
        <v>-5.6434176508104268E-3</v>
      </c>
      <c r="Q12" s="28"/>
      <c r="R12" s="102">
        <f>R11</f>
        <v>6.2933721381631062E-3</v>
      </c>
      <c r="S12" s="102">
        <f>'Menosäännön menojen laskenta'!B12/'EDP-velka'!AA49</f>
        <v>0.57158380603770254</v>
      </c>
      <c r="T12" s="103"/>
      <c r="U12" s="220">
        <f>0.005/$T$10</f>
        <v>8.6039943814564274E-3</v>
      </c>
      <c r="V12" s="102">
        <f>'Poikkeama rak.jäämästä'!U17</f>
        <v>0</v>
      </c>
      <c r="W12" s="102">
        <f>IF(Y12=1,0,IF(W11=0,V12/$T$10,W11*(V12/V11)))</f>
        <v>0</v>
      </c>
      <c r="X12" s="102">
        <f>V12/$T$10</f>
        <v>0</v>
      </c>
      <c r="Y12" s="101">
        <f>'Poikkeama rak.jäämästä'!R16</f>
        <v>1</v>
      </c>
      <c r="Z12" s="103"/>
      <c r="AA12" s="102">
        <f>IF(Y12=1,R12,R12-U12)</f>
        <v>6.2933721381631062E-3</v>
      </c>
      <c r="AB12" s="102">
        <f t="shared" si="7"/>
        <v>6.2933721381631062E-3</v>
      </c>
      <c r="AC12" s="62">
        <f t="shared" si="8"/>
        <v>0</v>
      </c>
      <c r="AD12" s="62"/>
      <c r="AE12" s="102">
        <f t="shared" si="9"/>
        <v>6.2933721381631062E-3</v>
      </c>
      <c r="AF12" s="102">
        <f t="shared" si="10"/>
        <v>-2.3106222432933213E-3</v>
      </c>
      <c r="AG12" s="28"/>
    </row>
    <row r="13" spans="1:33" ht="15" thickTop="1" x14ac:dyDescent="0.2">
      <c r="H13" s="104"/>
      <c r="Q13" s="4"/>
      <c r="AG13" s="4"/>
    </row>
    <row r="14" spans="1:33" ht="15" x14ac:dyDescent="0.25">
      <c r="H14" s="104"/>
      <c r="Q14" s="4"/>
      <c r="R14" s="219" t="s">
        <v>302</v>
      </c>
      <c r="AG14" s="4"/>
    </row>
    <row r="15" spans="1:33" x14ac:dyDescent="0.2">
      <c r="I15"/>
      <c r="Q15" s="4"/>
      <c r="AG15" s="4"/>
    </row>
    <row r="16" spans="1:33" x14ac:dyDescent="0.2">
      <c r="I16"/>
      <c r="Q16" s="4"/>
      <c r="R16" s="105">
        <f>B11</f>
        <v>3.0614295419185361E-3</v>
      </c>
      <c r="S16" s="148"/>
      <c r="T16" s="148"/>
      <c r="U16" s="110">
        <f t="shared" ref="U16:Y17" si="16">U11</f>
        <v>8.6039943814564274E-3</v>
      </c>
      <c r="V16" s="105">
        <f t="shared" si="16"/>
        <v>0</v>
      </c>
      <c r="W16" s="105">
        <f t="shared" si="16"/>
        <v>0</v>
      </c>
      <c r="X16" s="105">
        <f t="shared" si="16"/>
        <v>0</v>
      </c>
      <c r="Y16" s="168">
        <f t="shared" si="16"/>
        <v>1</v>
      </c>
      <c r="Z16" s="148"/>
      <c r="AA16" s="95">
        <f>IF(Y16=1,R16,R16-U16)</f>
        <v>3.0614295419185361E-3</v>
      </c>
      <c r="AB16" s="95">
        <f>IF(Y16=1,R16,R16-W16)</f>
        <v>3.0614295419185361E-3</v>
      </c>
      <c r="AC16" s="105">
        <f t="shared" ref="AC16:AC17" si="17">AA16-AB16</f>
        <v>0</v>
      </c>
      <c r="AD16" s="105"/>
      <c r="AE16" s="105">
        <f>R16</f>
        <v>3.0614295419185361E-3</v>
      </c>
      <c r="AF16" s="221">
        <f>R16-U16</f>
        <v>-5.5425648395378913E-3</v>
      </c>
      <c r="AG16" s="4"/>
    </row>
    <row r="17" spans="2:33" x14ac:dyDescent="0.2">
      <c r="I17"/>
      <c r="Q17" s="4"/>
      <c r="R17" s="105">
        <f>B12</f>
        <v>3.0614295419185361E-3</v>
      </c>
      <c r="S17" s="148"/>
      <c r="T17" s="148"/>
      <c r="U17" s="110">
        <f t="shared" si="16"/>
        <v>8.6039943814564274E-3</v>
      </c>
      <c r="V17" s="105">
        <f t="shared" si="16"/>
        <v>0</v>
      </c>
      <c r="W17" s="105">
        <f t="shared" si="16"/>
        <v>0</v>
      </c>
      <c r="X17" s="105">
        <f t="shared" si="16"/>
        <v>0</v>
      </c>
      <c r="Y17" s="168">
        <f t="shared" si="16"/>
        <v>1</v>
      </c>
      <c r="Z17" s="148"/>
      <c r="AA17" s="95">
        <f>IF(Y17=1,R17,R17-U17)</f>
        <v>3.0614295419185361E-3</v>
      </c>
      <c r="AB17" s="95">
        <f>IF(Y17=1,R17,R17-W17)</f>
        <v>3.0614295419185361E-3</v>
      </c>
      <c r="AC17" s="105">
        <f t="shared" si="17"/>
        <v>0</v>
      </c>
      <c r="AD17" s="105"/>
      <c r="AE17" s="105">
        <f>R17</f>
        <v>3.0614295419185361E-3</v>
      </c>
      <c r="AF17" s="221">
        <f>R17-U17</f>
        <v>-5.5425648395378913E-3</v>
      </c>
      <c r="AG17" s="4"/>
    </row>
    <row r="19" spans="2:33" x14ac:dyDescent="0.2">
      <c r="H19" s="95"/>
    </row>
    <row r="20" spans="2:33" x14ac:dyDescent="0.2">
      <c r="B20" s="140"/>
      <c r="H20" s="104"/>
    </row>
    <row r="21" spans="2:33" x14ac:dyDescent="0.2">
      <c r="B21" s="140"/>
      <c r="H21" s="104"/>
    </row>
    <row r="22" spans="2:33" x14ac:dyDescent="0.2">
      <c r="B22" s="140"/>
      <c r="H22" s="104"/>
    </row>
    <row r="23" spans="2:33" x14ac:dyDescent="0.2">
      <c r="B23" s="140"/>
      <c r="H23" s="104"/>
    </row>
    <row r="24" spans="2:33" x14ac:dyDescent="0.2">
      <c r="B24" s="140"/>
    </row>
    <row r="25" spans="2:33" x14ac:dyDescent="0.2">
      <c r="B25" s="140"/>
    </row>
  </sheetData>
  <mergeCells count="2">
    <mergeCell ref="B1:M1"/>
    <mergeCell ref="R1:AC1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/>
  </sheetPr>
  <dimension ref="A1:V27"/>
  <sheetViews>
    <sheetView zoomScaleNormal="100" workbookViewId="0">
      <pane xSplit="1" topLeftCell="B1" activePane="topRight" state="frozen"/>
      <selection pane="topRight"/>
    </sheetView>
  </sheetViews>
  <sheetFormatPr defaultRowHeight="14.25" x14ac:dyDescent="0.2"/>
  <cols>
    <col min="1" max="1" width="17.375" customWidth="1"/>
    <col min="2" max="2" width="16.25" customWidth="1"/>
    <col min="3" max="3" width="12.875" customWidth="1"/>
    <col min="4" max="4" width="12.875" style="140" customWidth="1"/>
    <col min="5" max="5" width="17.375" customWidth="1"/>
    <col min="6" max="6" width="21.75" customWidth="1"/>
    <col min="7" max="7" width="19" customWidth="1"/>
    <col min="8" max="8" width="21.375" customWidth="1"/>
    <col min="9" max="9" width="18.25" customWidth="1"/>
    <col min="10" max="10" width="16.375" customWidth="1"/>
    <col min="11" max="11" width="17.375" customWidth="1"/>
    <col min="12" max="12" width="18" customWidth="1"/>
    <col min="13" max="13" width="3.25" customWidth="1"/>
    <col min="14" max="14" width="16" customWidth="1"/>
    <col min="15" max="15" width="3.875" style="140" customWidth="1"/>
    <col min="16" max="16" width="10.75" customWidth="1"/>
    <col min="17" max="17" width="13" customWidth="1"/>
    <col min="18" max="18" width="10.5" customWidth="1"/>
    <col min="19" max="19" width="12.625" style="140" customWidth="1"/>
    <col min="20" max="20" width="3.5" customWidth="1"/>
    <col min="21" max="21" width="16.5" customWidth="1"/>
    <col min="22" max="22" width="14.5" customWidth="1"/>
  </cols>
  <sheetData>
    <row r="1" spans="1:22" ht="30" customHeight="1" x14ac:dyDescent="0.3">
      <c r="B1" s="308" t="s">
        <v>59</v>
      </c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308"/>
      <c r="P1" s="316" t="s">
        <v>267</v>
      </c>
      <c r="Q1" s="316"/>
      <c r="R1" s="316"/>
      <c r="T1" s="140"/>
      <c r="U1" s="187" t="s">
        <v>58</v>
      </c>
      <c r="V1" s="187" t="s">
        <v>59</v>
      </c>
    </row>
    <row r="2" spans="1:22" s="140" customFormat="1" ht="71.25" x14ac:dyDescent="0.2">
      <c r="B2" s="96" t="s">
        <v>253</v>
      </c>
      <c r="C2" t="s">
        <v>254</v>
      </c>
      <c r="D2" s="290" t="s">
        <v>413</v>
      </c>
      <c r="E2" s="96" t="s">
        <v>255</v>
      </c>
      <c r="F2" s="96" t="s">
        <v>256</v>
      </c>
      <c r="G2" s="96" t="s">
        <v>257</v>
      </c>
      <c r="H2" s="96" t="s">
        <v>258</v>
      </c>
      <c r="I2" s="96" t="s">
        <v>259</v>
      </c>
      <c r="J2" s="96" t="s">
        <v>260</v>
      </c>
      <c r="K2" s="96" t="s">
        <v>261</v>
      </c>
      <c r="L2" s="96" t="s">
        <v>262</v>
      </c>
      <c r="M2"/>
      <c r="N2" s="96" t="s">
        <v>305</v>
      </c>
      <c r="P2" s="96" t="s">
        <v>264</v>
      </c>
      <c r="Q2" s="96" t="s">
        <v>265</v>
      </c>
      <c r="R2" s="96" t="s">
        <v>268</v>
      </c>
      <c r="S2" s="96" t="s">
        <v>269</v>
      </c>
      <c r="T2"/>
      <c r="U2" s="185" t="s">
        <v>299</v>
      </c>
      <c r="V2" s="185" t="s">
        <v>299</v>
      </c>
    </row>
    <row r="3" spans="1:22" s="140" customFormat="1" ht="15" customHeight="1" thickBot="1" x14ac:dyDescent="0.25">
      <c r="A3" s="103" t="s">
        <v>308</v>
      </c>
      <c r="B3" s="213" t="s">
        <v>266</v>
      </c>
      <c r="C3" s="213" t="s">
        <v>266</v>
      </c>
      <c r="D3" s="213"/>
      <c r="E3" s="213" t="s">
        <v>266</v>
      </c>
      <c r="F3" s="213" t="s">
        <v>266</v>
      </c>
      <c r="G3" s="213" t="s">
        <v>266</v>
      </c>
      <c r="H3" s="213" t="s">
        <v>266</v>
      </c>
      <c r="I3" s="213"/>
      <c r="J3" s="213"/>
      <c r="K3" s="213"/>
      <c r="L3" s="213"/>
      <c r="M3" s="103"/>
      <c r="N3" s="101" t="s">
        <v>263</v>
      </c>
      <c r="O3" s="103"/>
      <c r="P3" s="101" t="s">
        <v>263</v>
      </c>
      <c r="Q3" s="101" t="s">
        <v>263</v>
      </c>
      <c r="R3" s="101" t="s">
        <v>263</v>
      </c>
      <c r="S3" s="101" t="s">
        <v>263</v>
      </c>
      <c r="T3" s="103"/>
      <c r="U3" s="101" t="s">
        <v>263</v>
      </c>
      <c r="V3" s="101" t="s">
        <v>263</v>
      </c>
    </row>
    <row r="4" spans="1:22" s="140" customFormat="1" ht="15" customHeight="1" thickTop="1" x14ac:dyDescent="0.2">
      <c r="A4" s="97">
        <v>2010</v>
      </c>
      <c r="B4" s="295">
        <v>99.150999999999996</v>
      </c>
      <c r="C4" s="295">
        <v>1.913</v>
      </c>
      <c r="D4" s="295">
        <f>B4-C4</f>
        <v>97.238</v>
      </c>
      <c r="E4" s="281"/>
      <c r="F4" s="281"/>
      <c r="G4" s="281"/>
      <c r="H4" s="281"/>
      <c r="I4" s="281"/>
      <c r="J4" s="281"/>
      <c r="K4" s="281"/>
      <c r="L4" s="281"/>
      <c r="M4" s="31"/>
      <c r="N4" s="24"/>
      <c r="O4" s="31"/>
      <c r="P4" s="24"/>
      <c r="Q4" s="24"/>
      <c r="R4" s="24"/>
      <c r="S4" s="24"/>
      <c r="T4" s="31"/>
      <c r="U4" s="24"/>
      <c r="V4" s="24"/>
    </row>
    <row r="5" spans="1:22" x14ac:dyDescent="0.2">
      <c r="A5" s="92">
        <v>2011</v>
      </c>
      <c r="B5" s="15">
        <v>103.45</v>
      </c>
      <c r="C5" s="15">
        <v>2.0840000000000001</v>
      </c>
      <c r="D5" s="295">
        <f t="shared" ref="D5:D12" si="0">B5-C5</f>
        <v>101.366</v>
      </c>
      <c r="E5" s="15">
        <v>4.7480000000000011</v>
      </c>
      <c r="F5" s="15">
        <f>'Menojen laskenta II'!G8</f>
        <v>4.6917500000000008</v>
      </c>
      <c r="G5" s="15">
        <v>1.121</v>
      </c>
      <c r="H5" s="15">
        <f>'Menojen laskenta II'!K8</f>
        <v>0.42858146058333374</v>
      </c>
      <c r="I5" s="15">
        <f>B5-C5-E5+F5-G5-H5</f>
        <v>99.760168539416668</v>
      </c>
      <c r="J5" s="15">
        <v>1.1617486392784411</v>
      </c>
      <c r="K5" s="15">
        <v>0</v>
      </c>
      <c r="L5" s="15">
        <f>I5-J5-K5</f>
        <v>98.598419900138225</v>
      </c>
    </row>
    <row r="6" spans="1:22" x14ac:dyDescent="0.2">
      <c r="A6" s="92">
        <v>2012</v>
      </c>
      <c r="B6" s="15">
        <v>108.309</v>
      </c>
      <c r="C6" s="15">
        <v>2.0139999999999998</v>
      </c>
      <c r="D6" s="295">
        <f t="shared" si="0"/>
        <v>106.295</v>
      </c>
      <c r="E6" s="15">
        <v>5.0259999999999998</v>
      </c>
      <c r="F6" s="15">
        <f>'Menojen laskenta II'!G9</f>
        <v>4.7760000000000007</v>
      </c>
      <c r="G6" s="15">
        <v>1.173</v>
      </c>
      <c r="H6" s="15">
        <f>'Menojen laskenta II'!K9</f>
        <v>0.36372986318631739</v>
      </c>
      <c r="I6" s="15">
        <f t="shared" ref="I6:I11" si="1">B6-C6-E6+F6-G6-H6</f>
        <v>104.50827013681368</v>
      </c>
      <c r="J6" s="15">
        <v>0.61838634208763577</v>
      </c>
      <c r="K6" s="15">
        <v>0</v>
      </c>
      <c r="L6" s="15">
        <f t="shared" ref="L6:L12" si="2">I6-J6-K6</f>
        <v>103.88988379472605</v>
      </c>
      <c r="N6" s="95">
        <f>(L6-I5)/I5</f>
        <v>4.1396434225927238E-2</v>
      </c>
      <c r="O6" s="2"/>
      <c r="P6" s="95">
        <v>2.4E-2</v>
      </c>
      <c r="Q6" s="95">
        <v>2.7999999999999997E-2</v>
      </c>
      <c r="R6" s="95">
        <f>(P6+Q6)/2</f>
        <v>2.5999999999999999E-2</v>
      </c>
      <c r="S6" s="95">
        <f>'EDP-velka'!AI43</f>
        <v>2.9056790727933546E-2</v>
      </c>
      <c r="U6" s="95">
        <f t="shared" ref="U6:U12" si="3">((1+N6)/(1+R6)-1)</f>
        <v>1.5006271175367569E-2</v>
      </c>
      <c r="V6" s="95">
        <f t="shared" ref="V6:V12" si="4">((1+N6)/(1+S6)-1)</f>
        <v>1.199121720897911E-2</v>
      </c>
    </row>
    <row r="7" spans="1:22" x14ac:dyDescent="0.2">
      <c r="A7" s="92">
        <v>2013</v>
      </c>
      <c r="B7" s="15">
        <v>112.218</v>
      </c>
      <c r="C7" s="15">
        <v>1.84</v>
      </c>
      <c r="D7" s="295">
        <f t="shared" si="0"/>
        <v>110.378</v>
      </c>
      <c r="E7" s="15">
        <v>5.4459999999999997</v>
      </c>
      <c r="F7" s="15">
        <f>'Menojen laskenta II'!G10</f>
        <v>4.9192499999999999</v>
      </c>
      <c r="G7" s="15">
        <v>1.209357</v>
      </c>
      <c r="H7" s="15">
        <f>'Menojen laskenta II'!K10</f>
        <v>0.58359890201131759</v>
      </c>
      <c r="I7" s="15">
        <f t="shared" si="1"/>
        <v>108.05829409798869</v>
      </c>
      <c r="J7" s="15">
        <v>1.4555308824827462</v>
      </c>
      <c r="K7" s="15">
        <v>0.44</v>
      </c>
      <c r="L7" s="15">
        <f t="shared" si="2"/>
        <v>106.16276321550595</v>
      </c>
      <c r="N7" s="95">
        <f t="shared" ref="N7:N12" si="5">(L7-I6)/I6</f>
        <v>1.5831216769030262E-2</v>
      </c>
      <c r="O7" s="2"/>
      <c r="P7" s="95">
        <v>2.1000000000000001E-2</v>
      </c>
      <c r="Q7" s="95">
        <v>1.9E-2</v>
      </c>
      <c r="R7" s="95">
        <f t="shared" ref="R7:R8" si="6">(P7+Q7)/2</f>
        <v>0.02</v>
      </c>
      <c r="S7" s="95">
        <f>'EDP-velka'!AI44</f>
        <v>1.9563300553024021E-2</v>
      </c>
      <c r="U7" s="95">
        <f>((1+N7)/(1+R7)-1)</f>
        <v>-4.0870423833037073E-3</v>
      </c>
      <c r="V7" s="95">
        <f>((1+N7)/(1+S7)-1)</f>
        <v>-3.6604728533966568E-3</v>
      </c>
    </row>
    <row r="8" spans="1:22" x14ac:dyDescent="0.2">
      <c r="A8" s="92">
        <v>2014</v>
      </c>
      <c r="B8" s="15">
        <v>115.33775845828779</v>
      </c>
      <c r="C8" s="15">
        <v>1.9848749999999999</v>
      </c>
      <c r="D8" s="295">
        <f t="shared" si="0"/>
        <v>113.35288345828779</v>
      </c>
      <c r="E8" s="15">
        <v>5.4840959499999986</v>
      </c>
      <c r="F8" s="15">
        <f>'Menojen laskenta II'!G11</f>
        <v>5.1760239874999998</v>
      </c>
      <c r="G8" s="15">
        <v>0.90900000000000003</v>
      </c>
      <c r="H8" s="15">
        <f>'Menojen laskenta II'!K11</f>
        <v>0.66121060962574896</v>
      </c>
      <c r="I8" s="15">
        <f t="shared" si="1"/>
        <v>111.47460088616204</v>
      </c>
      <c r="J8" s="15">
        <v>0.78542465983562626</v>
      </c>
      <c r="K8" s="15">
        <v>0</v>
      </c>
      <c r="L8" s="15">
        <f t="shared" si="2"/>
        <v>110.68917622632641</v>
      </c>
      <c r="N8" s="95">
        <f t="shared" si="5"/>
        <v>2.4346878231781062E-2</v>
      </c>
      <c r="O8" s="2"/>
      <c r="P8" s="95">
        <v>1.9E-2</v>
      </c>
      <c r="Q8" s="95">
        <v>2.2000000000000002E-2</v>
      </c>
      <c r="R8" s="95">
        <f t="shared" si="6"/>
        <v>2.0500000000000001E-2</v>
      </c>
      <c r="S8" s="95">
        <f>'EDP-velka'!AI45</f>
        <v>1.5769368581709742E-2</v>
      </c>
      <c r="U8" s="95">
        <f t="shared" si="3"/>
        <v>3.7696014030192959E-3</v>
      </c>
      <c r="V8" s="95">
        <f t="shared" si="4"/>
        <v>8.4443476200191103E-3</v>
      </c>
    </row>
    <row r="9" spans="1:22" x14ac:dyDescent="0.2">
      <c r="A9" s="92">
        <v>2015</v>
      </c>
      <c r="B9" s="15">
        <v>117.54910989029794</v>
      </c>
      <c r="C9" s="15">
        <v>2.16357</v>
      </c>
      <c r="D9" s="295">
        <f t="shared" si="0"/>
        <v>115.38553989029793</v>
      </c>
      <c r="E9" s="15">
        <v>5.4706788495270002</v>
      </c>
      <c r="F9" s="15">
        <f>'Menojen laskenta II'!G12</f>
        <v>5.3566936998817498</v>
      </c>
      <c r="G9" s="15">
        <v>1.2590000000000001</v>
      </c>
      <c r="H9" s="15">
        <f>'Menojen laskenta II'!K12</f>
        <v>0.55811853195734262</v>
      </c>
      <c r="I9" s="15">
        <f t="shared" si="1"/>
        <v>113.45443620869533</v>
      </c>
      <c r="J9" s="15">
        <v>1.1273996784716283</v>
      </c>
      <c r="K9" s="15">
        <v>0</v>
      </c>
      <c r="L9" s="15">
        <f t="shared" si="2"/>
        <v>112.32703653022369</v>
      </c>
      <c r="N9" s="95">
        <f t="shared" si="5"/>
        <v>7.6469046516898075E-3</v>
      </c>
      <c r="O9" s="2"/>
      <c r="P9" s="95">
        <v>0.02</v>
      </c>
      <c r="Q9" s="95"/>
      <c r="R9" s="95">
        <f>P9</f>
        <v>0.02</v>
      </c>
      <c r="S9" s="95">
        <f>'EDP-velka'!AI46</f>
        <v>1.4228304206040931E-2</v>
      </c>
      <c r="U9" s="95">
        <f t="shared" si="3"/>
        <v>-1.2110877792461006E-2</v>
      </c>
      <c r="V9" s="95">
        <f t="shared" si="4"/>
        <v>-6.4890710770522109E-3</v>
      </c>
    </row>
    <row r="10" spans="1:22" x14ac:dyDescent="0.2">
      <c r="A10" s="92">
        <v>2016</v>
      </c>
      <c r="B10" s="15">
        <v>120.6751715241252</v>
      </c>
      <c r="C10" s="15">
        <v>2.5691199999999998</v>
      </c>
      <c r="D10" s="295">
        <f t="shared" si="0"/>
        <v>118.10605152412521</v>
      </c>
      <c r="E10" s="15">
        <v>5.3714023294568358</v>
      </c>
      <c r="F10" s="15">
        <f>'Menojen laskenta II'!G13</f>
        <v>5.4430442822459586</v>
      </c>
      <c r="G10" s="15">
        <v>1.169</v>
      </c>
      <c r="H10" s="15">
        <f>'Menojen laskenta II'!K13</f>
        <v>0.4173897447715037</v>
      </c>
      <c r="I10" s="15">
        <f t="shared" si="1"/>
        <v>116.59130373214283</v>
      </c>
      <c r="J10" s="15">
        <v>0.41543344843686431</v>
      </c>
      <c r="K10" s="15">
        <v>0</v>
      </c>
      <c r="L10" s="15">
        <f t="shared" si="2"/>
        <v>116.17587028370598</v>
      </c>
      <c r="N10" s="95">
        <f t="shared" si="5"/>
        <v>2.3987022155790093E-2</v>
      </c>
      <c r="O10" s="2"/>
      <c r="P10" s="95">
        <v>0.02</v>
      </c>
      <c r="Q10" s="95"/>
      <c r="R10" s="95">
        <f t="shared" ref="R10:R12" si="7">P10</f>
        <v>0.02</v>
      </c>
      <c r="S10" s="95">
        <f>'EDP-velka'!AI47</f>
        <v>1.4957585556606645E-2</v>
      </c>
      <c r="U10" s="95">
        <f t="shared" si="3"/>
        <v>3.9088452507745064E-3</v>
      </c>
      <c r="V10" s="95">
        <f t="shared" si="4"/>
        <v>8.8963684075837879E-3</v>
      </c>
    </row>
    <row r="11" spans="1:22" x14ac:dyDescent="0.2">
      <c r="A11" s="92">
        <v>2017</v>
      </c>
      <c r="B11" s="15">
        <v>124.01666995700377</v>
      </c>
      <c r="C11" s="15">
        <v>3.0733350000000002</v>
      </c>
      <c r="D11" s="295">
        <f t="shared" si="0"/>
        <v>120.94333495700377</v>
      </c>
      <c r="E11" s="15">
        <v>5.4084130092888287</v>
      </c>
      <c r="F11" s="15">
        <f>'Menojen laskenta II'!G14</f>
        <v>5.4336475345681654</v>
      </c>
      <c r="G11" s="15">
        <v>1.1840000000000002</v>
      </c>
      <c r="H11" s="15">
        <f>'Menojen laskenta II'!K14</f>
        <v>0.25447237512525628</v>
      </c>
      <c r="I11" s="15">
        <f t="shared" si="1"/>
        <v>119.53009710715784</v>
      </c>
      <c r="J11" s="15">
        <v>0.13552768854324984</v>
      </c>
      <c r="K11" s="15">
        <v>0</v>
      </c>
      <c r="L11" s="15">
        <f t="shared" si="2"/>
        <v>119.39456941861459</v>
      </c>
      <c r="N11" s="95">
        <f t="shared" si="5"/>
        <v>2.4043522945004465E-2</v>
      </c>
      <c r="O11" s="2"/>
      <c r="P11" s="95">
        <v>0.02</v>
      </c>
      <c r="Q11" s="95"/>
      <c r="R11" s="95">
        <f t="shared" si="7"/>
        <v>0.02</v>
      </c>
      <c r="S11" s="95">
        <f>'EDP-velka'!AI48</f>
        <v>1.7997628559722756E-2</v>
      </c>
      <c r="U11" s="95">
        <f t="shared" si="3"/>
        <v>3.9642381813769223E-3</v>
      </c>
      <c r="V11" s="95">
        <f t="shared" si="4"/>
        <v>5.9390063548925287E-3</v>
      </c>
    </row>
    <row r="12" spans="1:22" ht="15" thickBot="1" x14ac:dyDescent="0.25">
      <c r="A12" s="100">
        <v>2018</v>
      </c>
      <c r="B12" s="41">
        <v>127.85380219512894</v>
      </c>
      <c r="C12" s="41">
        <v>3.3036500000000002</v>
      </c>
      <c r="D12" s="296">
        <f t="shared" si="0"/>
        <v>124.55015219512893</v>
      </c>
      <c r="E12" s="41">
        <v>5.4586534208749331</v>
      </c>
      <c r="F12" s="41">
        <f>'Menojen laskenta II'!G15</f>
        <v>5.4272869022868999</v>
      </c>
      <c r="G12" s="41">
        <v>1.0149999999999999</v>
      </c>
      <c r="H12" s="41">
        <f>'Menojen laskenta II'!K15</f>
        <v>7.2587450766329428E-2</v>
      </c>
      <c r="I12" s="41">
        <f>B12-C12-E12+F12-G12-H12</f>
        <v>123.43119822577455</v>
      </c>
      <c r="J12" s="41">
        <v>6.0416019172923656E-2</v>
      </c>
      <c r="K12" s="41">
        <v>0</v>
      </c>
      <c r="L12" s="41">
        <f t="shared" si="2"/>
        <v>123.37078220660163</v>
      </c>
      <c r="M12" s="103"/>
      <c r="N12" s="102">
        <f t="shared" si="5"/>
        <v>3.2131531659349725E-2</v>
      </c>
      <c r="O12" s="214"/>
      <c r="P12" s="102">
        <v>0.02</v>
      </c>
      <c r="Q12" s="102"/>
      <c r="R12" s="102">
        <f t="shared" si="7"/>
        <v>0.02</v>
      </c>
      <c r="S12" s="102">
        <f>'EDP-velka'!AI49</f>
        <v>1.8883571214126427E-2</v>
      </c>
      <c r="T12" s="103"/>
      <c r="U12" s="102">
        <f t="shared" si="3"/>
        <v>1.189365848955859E-2</v>
      </c>
      <c r="V12" s="102">
        <f t="shared" si="4"/>
        <v>1.300242816697561E-2</v>
      </c>
    </row>
    <row r="13" spans="1:22" ht="15" thickTop="1" x14ac:dyDescent="0.2"/>
    <row r="16" spans="1:22" x14ac:dyDescent="0.2">
      <c r="G16" s="140"/>
      <c r="H16" s="140"/>
      <c r="I16" s="140"/>
      <c r="J16" s="140"/>
      <c r="K16" s="140"/>
      <c r="L16" s="140"/>
    </row>
    <row r="17" spans="2:17" x14ac:dyDescent="0.2">
      <c r="F17" s="140"/>
      <c r="G17" s="140"/>
      <c r="H17" s="140"/>
      <c r="I17" s="140"/>
      <c r="J17" s="140"/>
      <c r="K17" s="140"/>
      <c r="L17" s="140"/>
      <c r="Q17" s="140"/>
    </row>
    <row r="18" spans="2:17" x14ac:dyDescent="0.2">
      <c r="C18" s="140"/>
      <c r="E18" s="2"/>
      <c r="F18" s="140"/>
      <c r="G18" s="140"/>
      <c r="H18" s="140"/>
      <c r="I18" s="140"/>
      <c r="J18" s="140"/>
      <c r="K18" s="140"/>
      <c r="L18" s="140"/>
      <c r="P18" s="140"/>
      <c r="Q18" s="140"/>
    </row>
    <row r="19" spans="2:17" x14ac:dyDescent="0.2">
      <c r="B19" s="140"/>
      <c r="C19" s="140"/>
      <c r="E19" s="2"/>
      <c r="F19" s="140"/>
      <c r="G19" s="140"/>
      <c r="H19" s="140"/>
      <c r="I19" s="140"/>
      <c r="J19" s="140"/>
      <c r="K19" s="140"/>
      <c r="L19" s="140"/>
      <c r="P19" s="140"/>
      <c r="Q19" s="140"/>
    </row>
    <row r="20" spans="2:17" x14ac:dyDescent="0.2">
      <c r="B20" s="140"/>
      <c r="C20" s="140"/>
      <c r="E20" s="2"/>
      <c r="F20" s="140"/>
      <c r="G20" s="140"/>
      <c r="H20" s="140"/>
      <c r="I20" s="140"/>
      <c r="J20" s="140"/>
      <c r="K20" s="140"/>
      <c r="L20" s="140"/>
      <c r="P20" s="140"/>
      <c r="Q20" s="140"/>
    </row>
    <row r="21" spans="2:17" x14ac:dyDescent="0.2">
      <c r="B21" s="140"/>
      <c r="C21" s="140"/>
      <c r="E21" s="2"/>
      <c r="F21" s="140"/>
      <c r="G21" s="140"/>
      <c r="H21" s="140"/>
      <c r="I21" s="2"/>
      <c r="J21" s="140"/>
      <c r="K21" s="140"/>
      <c r="L21" s="140"/>
      <c r="P21" s="140"/>
      <c r="Q21" s="140"/>
    </row>
    <row r="22" spans="2:17" x14ac:dyDescent="0.2">
      <c r="B22" s="140"/>
      <c r="C22" s="140"/>
      <c r="E22" s="2"/>
      <c r="F22" s="140"/>
      <c r="G22" s="140"/>
      <c r="H22" s="140"/>
      <c r="I22" s="140"/>
      <c r="J22" s="140"/>
      <c r="K22" s="140"/>
      <c r="L22" s="140"/>
      <c r="P22" s="140"/>
      <c r="Q22" s="140"/>
    </row>
    <row r="23" spans="2:17" x14ac:dyDescent="0.2">
      <c r="B23" s="140"/>
      <c r="C23" s="140"/>
      <c r="E23" s="2"/>
      <c r="F23" s="140"/>
      <c r="G23" s="140"/>
      <c r="H23" s="140"/>
      <c r="I23" s="140"/>
      <c r="J23" s="140"/>
      <c r="K23" s="140"/>
      <c r="L23" s="140"/>
      <c r="P23" s="140"/>
      <c r="Q23" s="140"/>
    </row>
    <row r="24" spans="2:17" x14ac:dyDescent="0.2">
      <c r="B24" s="140"/>
      <c r="C24" s="140"/>
      <c r="E24" s="2"/>
    </row>
    <row r="25" spans="2:17" x14ac:dyDescent="0.2">
      <c r="B25" s="140"/>
      <c r="C25" s="140"/>
      <c r="E25" s="2"/>
    </row>
    <row r="26" spans="2:17" x14ac:dyDescent="0.2">
      <c r="B26" s="140"/>
      <c r="C26" s="140"/>
      <c r="E26" s="2"/>
    </row>
    <row r="27" spans="2:17" x14ac:dyDescent="0.2">
      <c r="B27" s="140"/>
      <c r="C27" s="140"/>
      <c r="E27" s="140"/>
    </row>
  </sheetData>
  <mergeCells count="2">
    <mergeCell ref="P1:R1"/>
    <mergeCell ref="B1:N1"/>
  </mergeCells>
  <pageMargins left="0.7" right="0.7" top="0.75" bottom="0.75" header="0.3" footer="0.3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L31"/>
  <sheetViews>
    <sheetView workbookViewId="0"/>
  </sheetViews>
  <sheetFormatPr defaultRowHeight="14.25" x14ac:dyDescent="0.2"/>
  <cols>
    <col min="1" max="1" width="15.5" customWidth="1"/>
    <col min="2" max="2" width="17.75" customWidth="1"/>
    <col min="3" max="3" width="16.875" customWidth="1"/>
    <col min="4" max="4" width="22.75" customWidth="1"/>
    <col min="6" max="6" width="18.625" customWidth="1"/>
    <col min="7" max="7" width="18.5" customWidth="1"/>
    <col min="8" max="8" width="14.75" customWidth="1"/>
    <col min="9" max="9" width="15.875" customWidth="1"/>
    <col min="10" max="10" width="19.5" customWidth="1"/>
    <col min="11" max="11" width="23.75" customWidth="1"/>
  </cols>
  <sheetData>
    <row r="1" spans="1:12" ht="21" customHeight="1" x14ac:dyDescent="0.3">
      <c r="B1" s="308" t="s">
        <v>58</v>
      </c>
      <c r="C1" s="308"/>
      <c r="D1" s="308"/>
      <c r="F1" s="308" t="s">
        <v>59</v>
      </c>
      <c r="G1" s="308"/>
      <c r="H1" s="308"/>
      <c r="I1" s="308"/>
      <c r="J1" s="308"/>
      <c r="K1" s="308"/>
    </row>
    <row r="2" spans="1:12" s="140" customFormat="1" hidden="1" x14ac:dyDescent="0.2">
      <c r="E2" s="4"/>
      <c r="L2" s="148"/>
    </row>
    <row r="3" spans="1:12" ht="74.25" customHeight="1" x14ac:dyDescent="0.2">
      <c r="B3" s="184" t="s">
        <v>22</v>
      </c>
      <c r="C3" s="148" t="s">
        <v>287</v>
      </c>
      <c r="D3" s="188" t="s">
        <v>258</v>
      </c>
      <c r="E3" s="4"/>
      <c r="F3" s="184" t="s">
        <v>286</v>
      </c>
      <c r="G3" s="184" t="s">
        <v>256</v>
      </c>
      <c r="H3" s="188" t="s">
        <v>22</v>
      </c>
      <c r="I3" s="148" t="s">
        <v>287</v>
      </c>
      <c r="J3" s="294" t="s">
        <v>288</v>
      </c>
      <c r="K3" s="188" t="s">
        <v>258</v>
      </c>
      <c r="L3" s="4"/>
    </row>
    <row r="4" spans="1:12" ht="15" thickBot="1" x14ac:dyDescent="0.25">
      <c r="A4" s="103" t="s">
        <v>308</v>
      </c>
      <c r="B4" s="101" t="s">
        <v>23</v>
      </c>
      <c r="C4" s="101" t="s">
        <v>23</v>
      </c>
      <c r="D4" s="213" t="s">
        <v>266</v>
      </c>
      <c r="E4" s="28"/>
      <c r="F4" s="213" t="s">
        <v>266</v>
      </c>
      <c r="G4" s="213" t="s">
        <v>266</v>
      </c>
      <c r="H4" s="101" t="s">
        <v>23</v>
      </c>
      <c r="I4" s="101" t="s">
        <v>23</v>
      </c>
      <c r="J4" s="213" t="s">
        <v>266</v>
      </c>
      <c r="K4" s="213" t="s">
        <v>266</v>
      </c>
      <c r="L4" s="4"/>
    </row>
    <row r="5" spans="1:12" ht="15" thickTop="1" x14ac:dyDescent="0.2">
      <c r="A5" s="92">
        <v>2008</v>
      </c>
      <c r="B5" s="8">
        <f>'NAWRUn laskenta'!B57</f>
        <v>6.4</v>
      </c>
      <c r="C5" s="8">
        <f>Työvoimapanos!I56</f>
        <v>6.7616060300000003</v>
      </c>
      <c r="D5" s="15">
        <f>((B5-C5)/B5)*J5</f>
        <v>-0.21159602849218745</v>
      </c>
      <c r="E5" s="4"/>
      <c r="F5" s="15">
        <v>4.6890000000000009</v>
      </c>
      <c r="G5" s="15"/>
      <c r="H5" s="15">
        <f>'NAWRUn laskenta'!Q57</f>
        <v>6.4</v>
      </c>
      <c r="I5" s="15">
        <f>Työvoimapanos!T56</f>
        <v>6.8039696699999999</v>
      </c>
      <c r="J5" s="83">
        <v>3.7450000000000001</v>
      </c>
      <c r="K5" s="15">
        <f>((H5-I5)/H5)*J5</f>
        <v>-0.23638537721093722</v>
      </c>
      <c r="L5" s="4"/>
    </row>
    <row r="6" spans="1:12" x14ac:dyDescent="0.2">
      <c r="A6" s="92">
        <v>2009</v>
      </c>
      <c r="B6" s="8">
        <f>'NAWRUn laskenta'!B58</f>
        <v>8.1999999999999993</v>
      </c>
      <c r="C6" s="8">
        <f>Työvoimapanos!I57</f>
        <v>6.9714309099999996</v>
      </c>
      <c r="D6" s="15">
        <f t="shared" ref="D6:D12" si="0">((B6-C6)/B6)*J6</f>
        <v>0.65398830217682924</v>
      </c>
      <c r="E6" s="4"/>
      <c r="F6" s="15">
        <v>4.8730000000000011</v>
      </c>
      <c r="G6" s="15"/>
      <c r="H6" s="15">
        <f>'NAWRUn laskenta'!Q58</f>
        <v>8.1999999999999993</v>
      </c>
      <c r="I6" s="15">
        <f>Työvoimapanos!T57</f>
        <v>6.98099472</v>
      </c>
      <c r="J6" s="83">
        <v>4.3650000000000002</v>
      </c>
      <c r="K6" s="15">
        <f t="shared" ref="K6:K15" si="1">((H6-I6)/H6)*J6</f>
        <v>0.64889732282926793</v>
      </c>
      <c r="L6" s="4"/>
    </row>
    <row r="7" spans="1:12" x14ac:dyDescent="0.2">
      <c r="A7" s="92">
        <v>2010</v>
      </c>
      <c r="B7" s="8">
        <f>'NAWRUn laskenta'!B59</f>
        <v>8.4</v>
      </c>
      <c r="C7" s="8">
        <f>Työvoimapanos!I58</f>
        <v>6.9900365999999998</v>
      </c>
      <c r="D7" s="15">
        <f t="shared" si="0"/>
        <v>0.7454342213571431</v>
      </c>
      <c r="E7" s="4"/>
      <c r="F7" s="15">
        <v>4.4570000000000007</v>
      </c>
      <c r="G7" s="15"/>
      <c r="H7" s="15">
        <f>'NAWRUn laskenta'!Q59</f>
        <v>8.4</v>
      </c>
      <c r="I7" s="15">
        <f>Työvoimapanos!T58</f>
        <v>6.99311536</v>
      </c>
      <c r="J7" s="83">
        <v>4.4409999999999998</v>
      </c>
      <c r="K7" s="15">
        <f t="shared" si="1"/>
        <v>0.74380651026666678</v>
      </c>
      <c r="L7" s="4"/>
    </row>
    <row r="8" spans="1:12" x14ac:dyDescent="0.2">
      <c r="A8" s="92">
        <v>2011</v>
      </c>
      <c r="B8" s="8">
        <f>'NAWRUn laskenta'!B60</f>
        <v>7.8</v>
      </c>
      <c r="C8" s="8">
        <f>Työvoimapanos!I59</f>
        <v>6.9479208699999999</v>
      </c>
      <c r="D8" s="15">
        <f t="shared" si="0"/>
        <v>0.43314022441666661</v>
      </c>
      <c r="E8" s="4"/>
      <c r="F8" s="15">
        <v>4.7480000000000011</v>
      </c>
      <c r="G8" s="15">
        <f>AVERAGE(F5:F8)</f>
        <v>4.6917500000000008</v>
      </c>
      <c r="H8" s="15">
        <f>'NAWRUn laskenta'!Q60</f>
        <v>7.8</v>
      </c>
      <c r="I8" s="216">
        <v>6.956888929999999</v>
      </c>
      <c r="J8" s="83">
        <v>3.9649999999999999</v>
      </c>
      <c r="K8" s="15">
        <f t="shared" si="1"/>
        <v>0.42858146058333374</v>
      </c>
      <c r="L8" s="4"/>
    </row>
    <row r="9" spans="1:12" x14ac:dyDescent="0.2">
      <c r="A9" s="92">
        <v>2012</v>
      </c>
      <c r="B9" s="8">
        <f>'NAWRUn laskenta'!B61</f>
        <v>7.7</v>
      </c>
      <c r="C9" s="8">
        <f>Työvoimapanos!I60</f>
        <v>7.0010992500000002</v>
      </c>
      <c r="D9" s="15">
        <f t="shared" si="0"/>
        <v>0.37386651808441557</v>
      </c>
      <c r="E9" s="4"/>
      <c r="F9" s="15">
        <v>5.0259999999999998</v>
      </c>
      <c r="G9" s="15">
        <f t="shared" ref="G9:G15" si="2">AVERAGE(F6:F9)</f>
        <v>4.7760000000000007</v>
      </c>
      <c r="H9" s="15">
        <f>'NAWRUn laskenta'!Q61</f>
        <v>7.6914498141263943</v>
      </c>
      <c r="I9" s="216">
        <v>7.0122534099999996</v>
      </c>
      <c r="J9" s="83">
        <v>4.1189999999999998</v>
      </c>
      <c r="K9" s="15">
        <f t="shared" si="1"/>
        <v>0.36372986318631739</v>
      </c>
      <c r="L9" s="4"/>
    </row>
    <row r="10" spans="1:12" x14ac:dyDescent="0.2">
      <c r="A10" s="92">
        <v>2013</v>
      </c>
      <c r="B10" s="8">
        <f>'NAWRUn laskenta'!B62</f>
        <v>8.1999999999999993</v>
      </c>
      <c r="C10" s="8">
        <f>Työvoimapanos!I61</f>
        <v>7.1356459699999997</v>
      </c>
      <c r="D10" s="15">
        <f t="shared" si="0"/>
        <v>0.59239089725817062</v>
      </c>
      <c r="E10" s="4"/>
      <c r="F10" s="15">
        <v>5.4459999999999997</v>
      </c>
      <c r="G10" s="15">
        <f t="shared" si="2"/>
        <v>4.9192499999999999</v>
      </c>
      <c r="H10" s="15">
        <f>'NAWRUn laskenta'!Q62</f>
        <v>8.1956797966963144</v>
      </c>
      <c r="I10" s="216">
        <v>7.1476748600000004</v>
      </c>
      <c r="J10" s="83">
        <v>4.5639000000000003</v>
      </c>
      <c r="K10" s="15">
        <f t="shared" si="1"/>
        <v>0.58359890201131759</v>
      </c>
      <c r="L10" s="4"/>
    </row>
    <row r="11" spans="1:12" x14ac:dyDescent="0.2">
      <c r="A11" s="92">
        <v>2014</v>
      </c>
      <c r="B11" s="8">
        <f>'NAWRUn laskenta'!B63</f>
        <v>8.3000000000000007</v>
      </c>
      <c r="C11" s="8">
        <f>Työvoimapanos!I62</f>
        <v>7.2055770199999998</v>
      </c>
      <c r="D11" s="15">
        <f t="shared" si="0"/>
        <v>0.62673372276918149</v>
      </c>
      <c r="E11" s="4"/>
      <c r="F11" s="15">
        <v>5.4840959499999986</v>
      </c>
      <c r="G11" s="15">
        <f t="shared" si="2"/>
        <v>5.1760239874999998</v>
      </c>
      <c r="H11" s="15">
        <f>'NAWRUn laskenta'!Q63</f>
        <v>8.4138472759916958</v>
      </c>
      <c r="I11" s="216">
        <v>7.2433821299999996</v>
      </c>
      <c r="J11" s="83">
        <v>4.7530890652389282</v>
      </c>
      <c r="K11" s="15">
        <f t="shared" si="1"/>
        <v>0.66121060962574896</v>
      </c>
      <c r="L11" s="4"/>
    </row>
    <row r="12" spans="1:12" x14ac:dyDescent="0.2">
      <c r="A12" s="92">
        <v>2015</v>
      </c>
      <c r="B12" s="8">
        <f>'NAWRUn laskenta'!B64</f>
        <v>8.1</v>
      </c>
      <c r="C12" s="8">
        <f>Työvoimapanos!I63</f>
        <v>7.2348570299999997</v>
      </c>
      <c r="D12" s="15">
        <f t="shared" si="0"/>
        <v>0.49729090946343207</v>
      </c>
      <c r="E12" s="4"/>
      <c r="F12" s="15">
        <v>5.4706788495270002</v>
      </c>
      <c r="G12" s="15">
        <f t="shared" si="2"/>
        <v>5.3566936998817498</v>
      </c>
      <c r="H12" s="15">
        <f>'NAWRUn laskenta'!Q64</f>
        <v>8.2942102866867184</v>
      </c>
      <c r="I12" s="216">
        <v>7.2999643399999998</v>
      </c>
      <c r="J12" s="83">
        <v>4.6559430132730544</v>
      </c>
      <c r="K12" s="15">
        <f t="shared" si="1"/>
        <v>0.55811853195734262</v>
      </c>
      <c r="L12" s="4"/>
    </row>
    <row r="13" spans="1:12" x14ac:dyDescent="0.2">
      <c r="A13" s="92">
        <v>2016</v>
      </c>
      <c r="B13" s="69"/>
      <c r="C13" s="8">
        <f>Työvoimapanos!I64</f>
        <v>7.2494970349999992</v>
      </c>
      <c r="E13" s="4"/>
      <c r="F13" s="15">
        <v>5.3714023294568358</v>
      </c>
      <c r="G13" s="15">
        <f t="shared" si="2"/>
        <v>5.4430442822459586</v>
      </c>
      <c r="H13" s="15">
        <f>'NAWRUn laskenta'!Q65</f>
        <v>8.073867057135848</v>
      </c>
      <c r="I13" s="216">
        <v>7.3465123500000011</v>
      </c>
      <c r="J13" s="83">
        <v>4.6331580413730427</v>
      </c>
      <c r="K13" s="15">
        <f t="shared" si="1"/>
        <v>0.4173897447715037</v>
      </c>
      <c r="L13" s="4"/>
    </row>
    <row r="14" spans="1:12" x14ac:dyDescent="0.2">
      <c r="A14" s="92">
        <v>2017</v>
      </c>
      <c r="B14" s="69"/>
      <c r="C14" s="8">
        <f>Työvoimapanos!I65</f>
        <v>7.2568170374999994</v>
      </c>
      <c r="E14" s="4"/>
      <c r="F14" s="15">
        <v>5.4084130092888287</v>
      </c>
      <c r="G14" s="15">
        <f t="shared" si="2"/>
        <v>5.4336475345681654</v>
      </c>
      <c r="H14" s="15">
        <f>'NAWRUn laskenta'!Q66</f>
        <v>7.8050174847240683</v>
      </c>
      <c r="I14" s="216">
        <v>7.3697863550000022</v>
      </c>
      <c r="J14" s="83">
        <v>4.5634634142348727</v>
      </c>
      <c r="K14" s="15">
        <f t="shared" si="1"/>
        <v>0.25447237512525628</v>
      </c>
      <c r="L14" s="4"/>
    </row>
    <row r="15" spans="1:12" ht="15" thickBot="1" x14ac:dyDescent="0.25">
      <c r="A15" s="100">
        <v>2018</v>
      </c>
      <c r="B15" s="217"/>
      <c r="C15" s="27">
        <f>Työvoimapanos!I66</f>
        <v>7.2604770387499995</v>
      </c>
      <c r="D15" s="103"/>
      <c r="E15" s="28"/>
      <c r="F15" s="41">
        <v>5.4586534208749331</v>
      </c>
      <c r="G15" s="41">
        <f t="shared" si="2"/>
        <v>5.4272869022868999</v>
      </c>
      <c r="H15" s="41">
        <f>'NAWRUn laskenta'!Q67</f>
        <v>7.5024668185089283</v>
      </c>
      <c r="I15" s="210">
        <v>7.3814233575000028</v>
      </c>
      <c r="J15" s="218">
        <v>4.4990859999812836</v>
      </c>
      <c r="K15" s="41">
        <f t="shared" si="1"/>
        <v>7.2587450766329428E-2</v>
      </c>
      <c r="L15" s="28"/>
    </row>
    <row r="16" spans="1:12" ht="15" thickTop="1" x14ac:dyDescent="0.2">
      <c r="E16" s="140"/>
    </row>
    <row r="17" spans="2:12" x14ac:dyDescent="0.2">
      <c r="I17" t="s">
        <v>446</v>
      </c>
    </row>
    <row r="19" spans="2:12" x14ac:dyDescent="0.2">
      <c r="K19" s="2"/>
    </row>
    <row r="20" spans="2:12" x14ac:dyDescent="0.2">
      <c r="K20" s="2"/>
    </row>
    <row r="21" spans="2:12" x14ac:dyDescent="0.2">
      <c r="B21" s="140"/>
      <c r="F21" s="140"/>
      <c r="K21" s="2"/>
    </row>
    <row r="22" spans="2:12" x14ac:dyDescent="0.2">
      <c r="B22" s="140"/>
      <c r="F22" s="140"/>
      <c r="K22" s="2"/>
    </row>
    <row r="23" spans="2:12" x14ac:dyDescent="0.2">
      <c r="B23" s="140"/>
      <c r="F23" s="140"/>
      <c r="K23" s="2"/>
    </row>
    <row r="24" spans="2:12" x14ac:dyDescent="0.2">
      <c r="B24" s="140"/>
      <c r="F24" s="140"/>
      <c r="K24" s="2"/>
    </row>
    <row r="25" spans="2:12" x14ac:dyDescent="0.2">
      <c r="B25" s="140"/>
      <c r="D25" s="140"/>
      <c r="F25" s="140"/>
      <c r="H25" s="140"/>
      <c r="K25" s="140"/>
    </row>
    <row r="26" spans="2:12" x14ac:dyDescent="0.2">
      <c r="B26" s="140"/>
      <c r="D26" s="140"/>
      <c r="F26" s="140"/>
      <c r="H26" s="140"/>
      <c r="K26" s="140"/>
    </row>
    <row r="27" spans="2:12" x14ac:dyDescent="0.2">
      <c r="B27" s="140"/>
      <c r="D27" s="140"/>
      <c r="F27" s="140"/>
      <c r="H27" s="140"/>
      <c r="K27" s="140"/>
    </row>
    <row r="28" spans="2:12" x14ac:dyDescent="0.2">
      <c r="B28" s="140"/>
      <c r="D28" s="140"/>
      <c r="F28" s="140"/>
      <c r="H28" s="140"/>
      <c r="K28" s="189"/>
      <c r="L28" s="72"/>
    </row>
    <row r="29" spans="2:12" x14ac:dyDescent="0.2">
      <c r="B29" s="140"/>
      <c r="D29" s="140"/>
      <c r="F29" s="140"/>
      <c r="H29" s="140"/>
      <c r="K29" s="193"/>
      <c r="L29" s="72"/>
    </row>
    <row r="30" spans="2:12" x14ac:dyDescent="0.2">
      <c r="B30" s="140"/>
      <c r="D30" s="140"/>
      <c r="F30" s="140"/>
      <c r="H30" s="140"/>
      <c r="K30" s="191"/>
    </row>
    <row r="31" spans="2:12" x14ac:dyDescent="0.2">
      <c r="B31" s="140"/>
      <c r="D31" s="140"/>
      <c r="H31" s="140"/>
      <c r="K31" s="192"/>
    </row>
  </sheetData>
  <mergeCells count="2">
    <mergeCell ref="F1:K1"/>
    <mergeCell ref="B1:D1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AA55"/>
  <sheetViews>
    <sheetView zoomScaleNormal="100" workbookViewId="0">
      <pane xSplit="1" topLeftCell="B1" activePane="topRight" state="frozen"/>
      <selection pane="topRight"/>
    </sheetView>
  </sheetViews>
  <sheetFormatPr defaultRowHeight="14.25" x14ac:dyDescent="0.2"/>
  <cols>
    <col min="1" max="1" width="15.625" customWidth="1"/>
    <col min="2" max="2" width="14.625" customWidth="1"/>
    <col min="3" max="3" width="11" customWidth="1"/>
    <col min="4" max="4" width="12.25" style="91" customWidth="1"/>
    <col min="5" max="6" width="15.5" style="140" customWidth="1"/>
    <col min="7" max="7" width="19.75" style="91" customWidth="1"/>
    <col min="8" max="8" width="20" style="140" customWidth="1"/>
    <col min="9" max="9" width="16.25" customWidth="1"/>
    <col min="10" max="10" width="16" style="91" customWidth="1"/>
    <col min="11" max="11" width="19.25" customWidth="1"/>
    <col min="12" max="12" width="20.25" customWidth="1"/>
    <col min="13" max="13" width="19.375" customWidth="1"/>
    <col min="15" max="15" width="14.625" style="91" customWidth="1"/>
    <col min="16" max="17" width="16.5" style="91" customWidth="1"/>
    <col min="18" max="19" width="16.5" style="140" customWidth="1"/>
    <col min="20" max="20" width="16.375" style="91" customWidth="1"/>
    <col min="21" max="21" width="18.25" style="91" customWidth="1"/>
    <col min="22" max="23" width="19" style="140" customWidth="1"/>
    <col min="24" max="24" width="16.625" style="91" customWidth="1"/>
    <col min="25" max="25" width="20.25" style="91" customWidth="1"/>
    <col min="26" max="26" width="19.375" style="91" customWidth="1"/>
  </cols>
  <sheetData>
    <row r="1" spans="1:27" ht="22.5" x14ac:dyDescent="0.2">
      <c r="A1" s="92" t="s">
        <v>280</v>
      </c>
      <c r="B1" s="94"/>
      <c r="C1" s="94"/>
      <c r="D1" s="94"/>
      <c r="E1" s="148"/>
      <c r="F1" s="148"/>
      <c r="G1" s="94"/>
      <c r="H1" s="148"/>
      <c r="J1" s="94"/>
      <c r="K1" s="317" t="s">
        <v>58</v>
      </c>
      <c r="L1" s="317"/>
      <c r="M1" s="317"/>
      <c r="N1" s="117"/>
      <c r="O1" s="318" t="s">
        <v>59</v>
      </c>
      <c r="P1" s="318"/>
      <c r="Q1" s="318"/>
      <c r="R1" s="318"/>
      <c r="S1" s="318"/>
      <c r="T1" s="318"/>
      <c r="U1" s="318"/>
      <c r="V1" s="318"/>
      <c r="W1" s="318"/>
      <c r="X1" s="318"/>
      <c r="Y1" s="318"/>
      <c r="Z1" s="318"/>
      <c r="AA1" s="4"/>
    </row>
    <row r="2" spans="1:27" ht="42.75" x14ac:dyDescent="0.2">
      <c r="A2" s="91" t="s">
        <v>1</v>
      </c>
      <c r="B2" s="96" t="s">
        <v>93</v>
      </c>
      <c r="C2" s="94" t="s">
        <v>109</v>
      </c>
      <c r="D2" s="96" t="s">
        <v>112</v>
      </c>
      <c r="E2" s="96" t="s">
        <v>285</v>
      </c>
      <c r="F2" s="294" t="s">
        <v>414</v>
      </c>
      <c r="G2" s="96" t="s">
        <v>338</v>
      </c>
      <c r="H2" s="96" t="s">
        <v>281</v>
      </c>
      <c r="I2" s="96" t="s">
        <v>242</v>
      </c>
      <c r="J2" s="96" t="s">
        <v>245</v>
      </c>
      <c r="K2" s="96" t="s">
        <v>243</v>
      </c>
      <c r="L2" s="96" t="s">
        <v>244</v>
      </c>
      <c r="M2" s="96" t="s">
        <v>110</v>
      </c>
      <c r="N2" s="4"/>
      <c r="O2" s="96" t="s">
        <v>93</v>
      </c>
      <c r="P2" s="94" t="s">
        <v>109</v>
      </c>
      <c r="Q2" s="96" t="s">
        <v>112</v>
      </c>
      <c r="R2" s="96" t="s">
        <v>285</v>
      </c>
      <c r="S2" s="294" t="s">
        <v>414</v>
      </c>
      <c r="T2" s="96" t="s">
        <v>276</v>
      </c>
      <c r="U2" s="96" t="s">
        <v>278</v>
      </c>
      <c r="V2" s="96" t="s">
        <v>242</v>
      </c>
      <c r="W2" s="96" t="s">
        <v>245</v>
      </c>
      <c r="X2" s="96" t="s">
        <v>279</v>
      </c>
      <c r="Y2" s="96" t="s">
        <v>244</v>
      </c>
      <c r="Z2" s="96" t="s">
        <v>110</v>
      </c>
      <c r="AA2" s="4"/>
    </row>
    <row r="3" spans="1:27" s="91" customFormat="1" ht="6" customHeight="1" x14ac:dyDescent="0.2">
      <c r="B3" s="96"/>
      <c r="C3" s="94"/>
      <c r="D3" s="96"/>
      <c r="E3" s="140"/>
      <c r="F3" s="140"/>
      <c r="G3" s="96"/>
      <c r="H3" s="96"/>
      <c r="J3" s="140"/>
      <c r="K3" s="96"/>
      <c r="M3" s="96"/>
      <c r="N3" s="4"/>
      <c r="O3" s="96"/>
      <c r="P3" s="94"/>
      <c r="Q3" s="96"/>
      <c r="R3" s="96"/>
      <c r="S3" s="140"/>
      <c r="T3" s="96"/>
      <c r="U3" s="96"/>
      <c r="W3" s="140"/>
      <c r="X3" s="96"/>
      <c r="Y3" s="140"/>
      <c r="Z3" s="96"/>
      <c r="AA3" s="4"/>
    </row>
    <row r="4" spans="1:27" ht="15" thickBot="1" x14ac:dyDescent="0.25">
      <c r="A4" s="103" t="s">
        <v>0</v>
      </c>
      <c r="B4" s="103"/>
      <c r="C4" s="103"/>
      <c r="D4" s="103"/>
      <c r="E4" s="101" t="s">
        <v>225</v>
      </c>
      <c r="F4" s="101" t="s">
        <v>415</v>
      </c>
      <c r="G4" s="103"/>
      <c r="H4" s="103"/>
      <c r="I4" s="103"/>
      <c r="J4" s="101" t="s">
        <v>225</v>
      </c>
      <c r="K4" s="103"/>
      <c r="L4" s="101" t="s">
        <v>225</v>
      </c>
      <c r="M4" s="101" t="s">
        <v>225</v>
      </c>
      <c r="N4" s="28"/>
      <c r="O4" s="103"/>
      <c r="P4" s="103"/>
      <c r="Q4" s="103"/>
      <c r="R4" s="101" t="s">
        <v>225</v>
      </c>
      <c r="S4" s="101" t="s">
        <v>225</v>
      </c>
      <c r="T4" s="103"/>
      <c r="U4" s="103"/>
      <c r="V4" s="103"/>
      <c r="W4" s="101" t="s">
        <v>225</v>
      </c>
      <c r="X4" s="103"/>
      <c r="Y4" s="101" t="s">
        <v>225</v>
      </c>
      <c r="Z4" s="101" t="s">
        <v>225</v>
      </c>
      <c r="AA4" s="28"/>
    </row>
    <row r="5" spans="1:27" ht="15" thickTop="1" x14ac:dyDescent="0.2">
      <c r="A5" s="92">
        <v>2006</v>
      </c>
      <c r="B5" s="95">
        <f>'Rakenteellinen jäämä'!G52</f>
        <v>3.2485990693750202E-2</v>
      </c>
      <c r="C5" s="95">
        <v>0.02</v>
      </c>
      <c r="D5" s="95">
        <f>B5-C5</f>
        <v>1.2485990693750202E-2</v>
      </c>
      <c r="E5" s="148">
        <f>IF(D5&lt;-0.0025,0,1)</f>
        <v>1</v>
      </c>
      <c r="F5" s="148">
        <f>IF(D5&gt;0,1,0)</f>
        <v>1</v>
      </c>
      <c r="G5" s="95"/>
      <c r="H5" s="95"/>
      <c r="I5" s="148"/>
      <c r="J5" s="140"/>
      <c r="K5" s="94"/>
      <c r="M5" s="104"/>
      <c r="N5" s="4"/>
      <c r="O5" s="95">
        <f>'Rakenteellinen jäämä'!P52</f>
        <v>3.2065736325481306E-2</v>
      </c>
      <c r="P5" s="95">
        <v>0.02</v>
      </c>
      <c r="Q5" s="95">
        <f>O5-P5</f>
        <v>1.2065736325481306E-2</v>
      </c>
      <c r="R5" s="168">
        <f>IF(Q5&lt;-0.0025,0,1)</f>
        <v>1</v>
      </c>
      <c r="S5" s="148">
        <f>IF(Q5&gt;0,1,0)</f>
        <v>1</v>
      </c>
      <c r="T5" s="95"/>
      <c r="U5" s="95"/>
      <c r="W5" s="91"/>
      <c r="X5" s="94"/>
      <c r="Z5" s="104"/>
      <c r="AA5" s="4"/>
    </row>
    <row r="6" spans="1:27" x14ac:dyDescent="0.2">
      <c r="A6" s="92">
        <v>2007</v>
      </c>
      <c r="B6" s="95">
        <f>'Rakenteellinen jäämä'!G53</f>
        <v>2.7812294459099617E-2</v>
      </c>
      <c r="C6" s="95">
        <v>0.01</v>
      </c>
      <c r="D6" s="95">
        <f t="shared" ref="D6:D13" si="0">B6-C6</f>
        <v>1.7812294459099619E-2</v>
      </c>
      <c r="E6" s="148">
        <f t="shared" ref="E6:E12" si="1">IF(D6&lt;-0.0025,0,1)</f>
        <v>1</v>
      </c>
      <c r="F6" s="148">
        <f t="shared" ref="F6:F13" si="2">IF(D6&gt;0,1,0)</f>
        <v>1</v>
      </c>
      <c r="G6" s="104">
        <f>B6-B5</f>
        <v>-4.6736962346505852E-3</v>
      </c>
      <c r="H6" s="95">
        <f>'rak. jäämään muutostavoite'!J7</f>
        <v>0</v>
      </c>
      <c r="I6" s="95">
        <f>H6-G6</f>
        <v>4.6736962346505852E-3</v>
      </c>
      <c r="J6" s="148">
        <f>IF(I6&gt;0.005,1,0)</f>
        <v>0</v>
      </c>
      <c r="K6" s="94"/>
      <c r="M6" s="104"/>
      <c r="N6" s="4"/>
      <c r="O6" s="95">
        <f>'Rakenteellinen jäämä'!P53</f>
        <v>2.7335207600252275E-2</v>
      </c>
      <c r="P6" s="95">
        <v>0.01</v>
      </c>
      <c r="Q6" s="95">
        <f t="shared" ref="Q6:Q17" si="3">O6-P6</f>
        <v>1.7335207600252277E-2</v>
      </c>
      <c r="R6" s="168">
        <f t="shared" ref="R6:R17" si="4">IF(Q6&lt;-0.0025,0,1)</f>
        <v>1</v>
      </c>
      <c r="S6" s="148">
        <f t="shared" ref="S6:S12" si="5">IF(Q6&gt;0,1,0)</f>
        <v>1</v>
      </c>
      <c r="T6" s="95">
        <f>O6-O5</f>
        <v>-4.7305287252290308E-3</v>
      </c>
      <c r="U6" s="95">
        <f>'rak. jäämään muutostavoite'!T7</f>
        <v>0</v>
      </c>
      <c r="V6" s="95">
        <f>U6-T6</f>
        <v>4.7305287252290308E-3</v>
      </c>
      <c r="W6" s="148">
        <f>IF(V6&gt;0.005,1,0)</f>
        <v>0</v>
      </c>
      <c r="X6" s="94"/>
      <c r="Z6" s="104"/>
      <c r="AA6" s="4"/>
    </row>
    <row r="7" spans="1:27" x14ac:dyDescent="0.2">
      <c r="A7" s="92">
        <v>2008</v>
      </c>
      <c r="B7" s="95">
        <f>'Rakenteellinen jäämä'!G54</f>
        <v>2.5204779256303558E-2</v>
      </c>
      <c r="C7" s="95">
        <v>5.0000000000000001E-3</v>
      </c>
      <c r="D7" s="95">
        <f t="shared" si="0"/>
        <v>2.0204779256303557E-2</v>
      </c>
      <c r="E7" s="148">
        <f t="shared" si="1"/>
        <v>1</v>
      </c>
      <c r="F7" s="148">
        <f t="shared" si="2"/>
        <v>1</v>
      </c>
      <c r="G7" s="104">
        <f>B7-B6</f>
        <v>-2.6075152027960589E-3</v>
      </c>
      <c r="H7" s="95">
        <f>'rak. jäämään muutostavoite'!J8</f>
        <v>0</v>
      </c>
      <c r="I7" s="95">
        <f t="shared" ref="I7:I13" si="6">H7-G7</f>
        <v>2.6075152027960589E-3</v>
      </c>
      <c r="J7" s="148">
        <f>IF(I7&gt;0.005,1,0)</f>
        <v>0</v>
      </c>
      <c r="K7" s="110">
        <f>(I7+I6)/2</f>
        <v>3.6406057187233221E-3</v>
      </c>
      <c r="L7" s="148" t="str">
        <f>IF(E7=1,"MTO saavutettu",IF(K7&gt;0.0025,1,0))</f>
        <v>MTO saavutettu</v>
      </c>
      <c r="M7" s="168"/>
      <c r="N7" s="4"/>
      <c r="O7" s="95">
        <f>'Rakenteellinen jäämä'!P54</f>
        <v>2.4710676126686201E-2</v>
      </c>
      <c r="P7" s="95">
        <v>5.0000000000000001E-3</v>
      </c>
      <c r="Q7" s="95">
        <f t="shared" si="3"/>
        <v>1.97106761266862E-2</v>
      </c>
      <c r="R7" s="168">
        <f t="shared" si="4"/>
        <v>1</v>
      </c>
      <c r="S7" s="148">
        <f t="shared" si="5"/>
        <v>1</v>
      </c>
      <c r="T7" s="95">
        <f t="shared" ref="T7:T17" si="7">O7-O6</f>
        <v>-2.6245314735660746E-3</v>
      </c>
      <c r="U7" s="95">
        <f>'rak. jäämään muutostavoite'!T8</f>
        <v>0</v>
      </c>
      <c r="V7" s="95">
        <f t="shared" ref="V7:V17" si="8">U7-T7</f>
        <v>2.6245314735660746E-3</v>
      </c>
      <c r="W7" s="148">
        <f t="shared" ref="W7:W17" si="9">IF(V7&gt;0.005,1,0)</f>
        <v>0</v>
      </c>
      <c r="X7" s="110">
        <f>(V7+V6)/2</f>
        <v>3.6775300993975527E-3</v>
      </c>
      <c r="Y7" s="148" t="str">
        <f>IF(R7=1,"MTO saavutettu",IF(X7&gt;0.0025,1,0))</f>
        <v>MTO saavutettu</v>
      </c>
      <c r="Z7" s="168"/>
      <c r="AA7" s="4"/>
    </row>
    <row r="8" spans="1:27" x14ac:dyDescent="0.2">
      <c r="A8" s="92">
        <v>2009</v>
      </c>
      <c r="B8" s="95">
        <f>'Rakenteellinen jäämä'!G55</f>
        <v>5.6859366300804253E-3</v>
      </c>
      <c r="C8" s="95">
        <v>5.0000000000000001E-3</v>
      </c>
      <c r="D8" s="95">
        <f>B8-C8</f>
        <v>6.8593663008042517E-4</v>
      </c>
      <c r="E8" s="148">
        <f t="shared" si="1"/>
        <v>1</v>
      </c>
      <c r="F8" s="148">
        <f t="shared" si="2"/>
        <v>1</v>
      </c>
      <c r="G8" s="104">
        <f t="shared" ref="G8:G11" si="10">B8-B7</f>
        <v>-1.9518842626223134E-2</v>
      </c>
      <c r="H8" s="95">
        <f>'rak. jäämään muutostavoite'!J9</f>
        <v>0</v>
      </c>
      <c r="I8" s="95">
        <f t="shared" si="6"/>
        <v>1.9518842626223134E-2</v>
      </c>
      <c r="J8" s="148">
        <f t="shared" ref="J8:J12" si="11">IF(I8&gt;0.005,1,0)</f>
        <v>1</v>
      </c>
      <c r="K8" s="110">
        <f>(I8+I7)/2</f>
        <v>1.1063178914509596E-2</v>
      </c>
      <c r="L8" s="148" t="str">
        <f t="shared" ref="L8:L13" si="12">IF(E8=1,"MTO saavutettu",IF(K8&gt;0.0025,1,0))</f>
        <v>MTO saavutettu</v>
      </c>
      <c r="M8" s="168"/>
      <c r="N8" s="4"/>
      <c r="O8" s="95">
        <f>'Rakenteellinen jäämä'!P55</f>
        <v>4.4948157819485225E-3</v>
      </c>
      <c r="P8" s="95">
        <v>5.0000000000000001E-3</v>
      </c>
      <c r="Q8" s="95">
        <f t="shared" si="3"/>
        <v>-5.0518421805147758E-4</v>
      </c>
      <c r="R8" s="168">
        <f t="shared" si="4"/>
        <v>1</v>
      </c>
      <c r="S8" s="148">
        <f t="shared" si="5"/>
        <v>0</v>
      </c>
      <c r="T8" s="95">
        <f t="shared" si="7"/>
        <v>-2.0215860344737678E-2</v>
      </c>
      <c r="U8" s="95">
        <f>'rak. jäämään muutostavoite'!T9</f>
        <v>0</v>
      </c>
      <c r="V8" s="95">
        <f>U8-T8</f>
        <v>2.0215860344737678E-2</v>
      </c>
      <c r="W8" s="148">
        <f t="shared" si="9"/>
        <v>1</v>
      </c>
      <c r="X8" s="110">
        <f>(V8+V7)/2</f>
        <v>1.1420195909151876E-2</v>
      </c>
      <c r="Y8" s="148" t="str">
        <f t="shared" ref="Y8:Y17" si="13">IF(R8=1,"MTO saavutettu",IF(X8&gt;0.0025,1,0))</f>
        <v>MTO saavutettu</v>
      </c>
      <c r="Z8" s="168"/>
      <c r="AA8" s="4"/>
    </row>
    <row r="9" spans="1:27" x14ac:dyDescent="0.2">
      <c r="A9" s="92">
        <v>2010</v>
      </c>
      <c r="B9" s="95">
        <f>'Rakenteellinen jäämä'!G56</f>
        <v>-1.0106299529407095E-2</v>
      </c>
      <c r="C9" s="95">
        <v>5.0000000000000001E-3</v>
      </c>
      <c r="D9" s="95">
        <f>B9-C9</f>
        <v>-1.5106299529407095E-2</v>
      </c>
      <c r="E9" s="148">
        <f t="shared" si="1"/>
        <v>0</v>
      </c>
      <c r="F9" s="148">
        <f t="shared" si="2"/>
        <v>0</v>
      </c>
      <c r="G9" s="104">
        <f t="shared" si="10"/>
        <v>-1.5792236159487522E-2</v>
      </c>
      <c r="H9" s="95" t="str">
        <f>'rak. jäämään muutostavoite'!J10</f>
        <v>-</v>
      </c>
      <c r="I9" s="95" t="s">
        <v>246</v>
      </c>
      <c r="J9" s="148" t="s">
        <v>246</v>
      </c>
      <c r="K9" s="110" t="s">
        <v>246</v>
      </c>
      <c r="L9" s="148" t="s">
        <v>246</v>
      </c>
      <c r="M9" s="168">
        <f>IF(OR(J9=1,L9=1),1,0)</f>
        <v>0</v>
      </c>
      <c r="N9" s="4"/>
      <c r="O9" s="95">
        <f>'Rakenteellinen jäämä'!P56</f>
        <v>-9.1435593519083418E-3</v>
      </c>
      <c r="P9" s="95">
        <v>5.0000000000000001E-3</v>
      </c>
      <c r="Q9" s="95">
        <f t="shared" si="3"/>
        <v>-1.4143559351908343E-2</v>
      </c>
      <c r="R9" s="168">
        <f t="shared" si="4"/>
        <v>0</v>
      </c>
      <c r="S9" s="148">
        <f t="shared" si="5"/>
        <v>0</v>
      </c>
      <c r="T9" s="95">
        <f t="shared" si="7"/>
        <v>-1.3638375133856864E-2</v>
      </c>
      <c r="U9" s="95" t="str">
        <f>'rak. jäämään muutostavoite'!T10</f>
        <v>-</v>
      </c>
      <c r="V9" s="95" t="s">
        <v>246</v>
      </c>
      <c r="W9" s="148" t="s">
        <v>246</v>
      </c>
      <c r="X9" s="110" t="s">
        <v>246</v>
      </c>
      <c r="Y9" s="148">
        <f t="shared" si="13"/>
        <v>1</v>
      </c>
      <c r="Z9" s="168" t="s">
        <v>246</v>
      </c>
      <c r="AA9" s="4"/>
    </row>
    <row r="10" spans="1:27" x14ac:dyDescent="0.2">
      <c r="A10" s="92">
        <v>2011</v>
      </c>
      <c r="B10" s="95">
        <f>'Rakenteellinen jäämä'!G57</f>
        <v>-5.1060084736163202E-3</v>
      </c>
      <c r="C10" s="95">
        <v>5.0000000000000001E-3</v>
      </c>
      <c r="D10" s="95">
        <f t="shared" si="0"/>
        <v>-1.0106008473616319E-2</v>
      </c>
      <c r="E10" s="148">
        <f t="shared" si="1"/>
        <v>0</v>
      </c>
      <c r="F10" s="148">
        <f t="shared" si="2"/>
        <v>0</v>
      </c>
      <c r="G10" s="104">
        <f t="shared" si="10"/>
        <v>5.0002910557907752E-3</v>
      </c>
      <c r="H10" s="95">
        <f>'rak. jäämään muutostavoite'!J11</f>
        <v>1E-3</v>
      </c>
      <c r="I10" s="95">
        <f t="shared" si="6"/>
        <v>-4.0002910557907752E-3</v>
      </c>
      <c r="J10" s="148">
        <f t="shared" si="11"/>
        <v>0</v>
      </c>
      <c r="K10" s="110" t="s">
        <v>246</v>
      </c>
      <c r="L10" s="148" t="s">
        <v>246</v>
      </c>
      <c r="M10" s="168">
        <f t="shared" ref="M10:M11" si="14">IF(OR(J10=1,L10=1),1,0)</f>
        <v>0</v>
      </c>
      <c r="N10" s="4"/>
      <c r="O10" s="95">
        <f>'Rakenteellinen jäämä'!P57</f>
        <v>-6.1321306613362622E-3</v>
      </c>
      <c r="P10" s="95">
        <v>5.0000000000000001E-3</v>
      </c>
      <c r="Q10" s="95">
        <f t="shared" si="3"/>
        <v>-1.1132130661336262E-2</v>
      </c>
      <c r="R10" s="168">
        <f t="shared" si="4"/>
        <v>0</v>
      </c>
      <c r="S10" s="148">
        <f t="shared" si="5"/>
        <v>0</v>
      </c>
      <c r="T10" s="95">
        <f t="shared" si="7"/>
        <v>3.0114286905720796E-3</v>
      </c>
      <c r="U10" s="95">
        <f>'rak. jäämään muutostavoite'!T11</f>
        <v>1E-3</v>
      </c>
      <c r="V10" s="95">
        <f>U10-T10</f>
        <v>-2.0114286905720796E-3</v>
      </c>
      <c r="W10" s="148">
        <f t="shared" si="9"/>
        <v>0</v>
      </c>
      <c r="X10" s="110" t="s">
        <v>246</v>
      </c>
      <c r="Y10" s="148" t="s">
        <v>246</v>
      </c>
      <c r="Z10" s="168">
        <f>IF(OR(W10=1,Y10=1),1,0)</f>
        <v>0</v>
      </c>
      <c r="AA10" s="4"/>
    </row>
    <row r="11" spans="1:27" x14ac:dyDescent="0.2">
      <c r="A11" s="92">
        <v>2012</v>
      </c>
      <c r="B11" s="95">
        <f>'Rakenteellinen jäämä'!G58</f>
        <v>-9.64443210725794E-3</v>
      </c>
      <c r="C11" s="95">
        <v>5.0000000000000001E-3</v>
      </c>
      <c r="D11" s="95">
        <f t="shared" si="0"/>
        <v>-1.4644432107257941E-2</v>
      </c>
      <c r="E11" s="148">
        <f t="shared" si="1"/>
        <v>0</v>
      </c>
      <c r="F11" s="148">
        <f t="shared" si="2"/>
        <v>0</v>
      </c>
      <c r="G11" s="104">
        <f t="shared" si="10"/>
        <v>-4.5384236336416198E-3</v>
      </c>
      <c r="H11" s="95">
        <f>'rak. jäämään muutostavoite'!J12</f>
        <v>5.0000000000000001E-3</v>
      </c>
      <c r="I11" s="95">
        <f t="shared" si="6"/>
        <v>9.5384236336416191E-3</v>
      </c>
      <c r="J11" s="148">
        <f t="shared" si="11"/>
        <v>1</v>
      </c>
      <c r="K11" s="110">
        <f>(I11+I10)/2</f>
        <v>2.7690662889254219E-3</v>
      </c>
      <c r="L11" s="148">
        <f t="shared" si="12"/>
        <v>1</v>
      </c>
      <c r="M11" s="168">
        <f t="shared" si="14"/>
        <v>1</v>
      </c>
      <c r="N11" s="4"/>
      <c r="O11" s="95">
        <f>'Rakenteellinen jäämä'!P58</f>
        <v>-1.040827972956854E-2</v>
      </c>
      <c r="P11" s="95">
        <v>5.0000000000000001E-3</v>
      </c>
      <c r="Q11" s="95">
        <f t="shared" si="3"/>
        <v>-1.5408279729568541E-2</v>
      </c>
      <c r="R11" s="168">
        <f t="shared" si="4"/>
        <v>0</v>
      </c>
      <c r="S11" s="148">
        <f t="shared" si="5"/>
        <v>0</v>
      </c>
      <c r="T11" s="95">
        <f>O11-O10</f>
        <v>-4.2761490682322783E-3</v>
      </c>
      <c r="U11" s="95">
        <f>'rak. jäämään muutostavoite'!T12</f>
        <v>5.0000000000000001E-3</v>
      </c>
      <c r="V11" s="95">
        <f>U11-T11</f>
        <v>9.2761490682322784E-3</v>
      </c>
      <c r="W11" s="148">
        <f t="shared" si="9"/>
        <v>1</v>
      </c>
      <c r="X11" s="110">
        <f>(V11+V10)/2</f>
        <v>3.6323601888300994E-3</v>
      </c>
      <c r="Y11" s="148">
        <f>IF(R11=1,"MTO saavutettu",IF(X11&gt;0.0025,1,0))</f>
        <v>1</v>
      </c>
      <c r="Z11" s="168">
        <f t="shared" ref="Z11:Z17" si="15">IF(OR(W11=1,Y11=1),1,0)</f>
        <v>1</v>
      </c>
      <c r="AA11" s="4"/>
    </row>
    <row r="12" spans="1:27" x14ac:dyDescent="0.2">
      <c r="A12" s="92">
        <v>2013</v>
      </c>
      <c r="B12" s="111">
        <f>'Rakenteellinen jäämä'!G59</f>
        <v>-6.1998247809325353E-3</v>
      </c>
      <c r="C12" s="111">
        <v>-5.0000000000000001E-3</v>
      </c>
      <c r="D12" s="111">
        <f t="shared" si="0"/>
        <v>-1.1998247809325352E-3</v>
      </c>
      <c r="E12" s="112">
        <f t="shared" si="1"/>
        <v>1</v>
      </c>
      <c r="F12" s="112">
        <f t="shared" si="2"/>
        <v>0</v>
      </c>
      <c r="G12" s="113">
        <f>B12-B11</f>
        <v>3.4446073263254048E-3</v>
      </c>
      <c r="H12" s="111">
        <f>'rak. jäämään muutostavoite'!J13</f>
        <v>5.0000000000000001E-3</v>
      </c>
      <c r="I12" s="111">
        <f t="shared" si="6"/>
        <v>1.5553926736745953E-3</v>
      </c>
      <c r="J12" s="112">
        <f t="shared" si="11"/>
        <v>0</v>
      </c>
      <c r="K12" s="114">
        <f>(I12+I11)/2</f>
        <v>5.5469081536581068E-3</v>
      </c>
      <c r="L12" s="112" t="str">
        <f t="shared" si="12"/>
        <v>MTO saavutettu</v>
      </c>
      <c r="M12" s="170">
        <f>IF(OR(J12=1,L12=1),1,0)</f>
        <v>0</v>
      </c>
      <c r="N12" s="4"/>
      <c r="O12" s="111">
        <f>'Rakenteellinen jäämä'!P59</f>
        <v>-5.3131610992601039E-3</v>
      </c>
      <c r="P12" s="111">
        <v>-5.0000000000000001E-3</v>
      </c>
      <c r="Q12" s="113">
        <f t="shared" si="3"/>
        <v>-3.1316109926010378E-4</v>
      </c>
      <c r="R12" s="170">
        <f t="shared" si="4"/>
        <v>1</v>
      </c>
      <c r="S12" s="112">
        <f t="shared" si="5"/>
        <v>0</v>
      </c>
      <c r="T12" s="111">
        <f t="shared" si="7"/>
        <v>5.0951186303084366E-3</v>
      </c>
      <c r="U12" s="111">
        <f>'rak. jäämään muutostavoite'!T13</f>
        <v>5.0000000000000001E-3</v>
      </c>
      <c r="V12" s="111">
        <f t="shared" si="8"/>
        <v>-9.511863030843646E-5</v>
      </c>
      <c r="W12" s="112">
        <f t="shared" si="9"/>
        <v>0</v>
      </c>
      <c r="X12" s="114">
        <f>(V12+V11)/2</f>
        <v>4.5905152189619214E-3</v>
      </c>
      <c r="Y12" s="112" t="str">
        <f t="shared" si="13"/>
        <v>MTO saavutettu</v>
      </c>
      <c r="Z12" s="170">
        <f t="shared" si="15"/>
        <v>0</v>
      </c>
      <c r="AA12" s="4"/>
    </row>
    <row r="13" spans="1:27" x14ac:dyDescent="0.2">
      <c r="A13" s="92">
        <v>2014</v>
      </c>
      <c r="B13" s="95">
        <f>'Rakenteellinen jäämä'!G60</f>
        <v>-8.3575187100202539E-3</v>
      </c>
      <c r="C13" s="95">
        <v>-5.0000000000000001E-3</v>
      </c>
      <c r="D13" s="104">
        <f t="shared" si="0"/>
        <v>-3.3575187100202538E-3</v>
      </c>
      <c r="E13" s="148">
        <f>IF(D13&lt;-0.0025,0,1)</f>
        <v>0</v>
      </c>
      <c r="F13" s="148">
        <f t="shared" si="2"/>
        <v>0</v>
      </c>
      <c r="G13" s="104">
        <f>B13-B12</f>
        <v>-2.1576939290877187E-3</v>
      </c>
      <c r="H13" s="95">
        <f>'rak. jäämään muutostavoite'!J14</f>
        <v>0</v>
      </c>
      <c r="I13" s="95">
        <f t="shared" si="6"/>
        <v>2.1576939290877187E-3</v>
      </c>
      <c r="J13" s="148">
        <f>IF(I13&gt;0.005,1,0)</f>
        <v>0</v>
      </c>
      <c r="K13" s="110">
        <f>(I13+I12)/2</f>
        <v>1.856543301381157E-3</v>
      </c>
      <c r="L13" s="148">
        <f t="shared" si="12"/>
        <v>0</v>
      </c>
      <c r="M13" s="148">
        <f>IF(E13=0,IF(OR(J13=1,L13=1),1,0),"MTO saavutettu")</f>
        <v>0</v>
      </c>
      <c r="N13" s="4"/>
      <c r="O13" s="95">
        <f>'Rakenteellinen jäämä'!P60</f>
        <v>-7.7084536635819234E-3</v>
      </c>
      <c r="P13" s="95">
        <v>-5.0000000000000001E-3</v>
      </c>
      <c r="Q13" s="104">
        <f>O13-P13</f>
        <v>-2.7084536635819233E-3</v>
      </c>
      <c r="R13" s="168">
        <f t="shared" si="4"/>
        <v>0</v>
      </c>
      <c r="S13" s="148">
        <f>IF(Q13&gt;0,1,0)</f>
        <v>0</v>
      </c>
      <c r="T13" s="95">
        <f t="shared" si="7"/>
        <v>-2.3952925643218196E-3</v>
      </c>
      <c r="U13" s="95">
        <f>'rak. jäämään muutostavoite'!T14</f>
        <v>0</v>
      </c>
      <c r="V13" s="95">
        <f t="shared" si="8"/>
        <v>2.3952925643218196E-3</v>
      </c>
      <c r="W13" s="148">
        <f t="shared" si="9"/>
        <v>0</v>
      </c>
      <c r="X13" s="110">
        <f t="shared" ref="X13:X17" si="16">(V13+V12)/2</f>
        <v>1.1500869670066916E-3</v>
      </c>
      <c r="Y13" s="148">
        <f t="shared" si="13"/>
        <v>0</v>
      </c>
      <c r="Z13" s="168">
        <f t="shared" si="15"/>
        <v>0</v>
      </c>
      <c r="AA13" s="4"/>
    </row>
    <row r="14" spans="1:27" x14ac:dyDescent="0.2">
      <c r="A14" s="92">
        <v>2015</v>
      </c>
      <c r="B14" s="95"/>
      <c r="C14" s="95"/>
      <c r="D14" s="95"/>
      <c r="E14" s="148"/>
      <c r="F14" s="148"/>
      <c r="G14" s="104"/>
      <c r="H14" s="95">
        <f>'rak. jäämään muutostavoite'!J15</f>
        <v>3.3575187100202538E-3</v>
      </c>
      <c r="I14" s="95"/>
      <c r="J14" s="148"/>
      <c r="K14" s="110"/>
      <c r="L14" s="148"/>
      <c r="M14" s="168"/>
      <c r="N14" s="4"/>
      <c r="O14" s="95">
        <f>'Rakenteellinen jäämä'!P61</f>
        <v>-2.1242617478705781E-3</v>
      </c>
      <c r="P14" s="95">
        <v>-5.0000000000000001E-3</v>
      </c>
      <c r="Q14" s="95">
        <f t="shared" si="3"/>
        <v>2.875738252129422E-3</v>
      </c>
      <c r="R14" s="168">
        <f t="shared" si="4"/>
        <v>1</v>
      </c>
      <c r="S14" s="148">
        <f t="shared" ref="S14:S17" si="17">IF(Q14&gt;0,1,0)</f>
        <v>1</v>
      </c>
      <c r="T14" s="95">
        <f t="shared" si="7"/>
        <v>5.5841919157113458E-3</v>
      </c>
      <c r="U14" s="95">
        <f>'rak. jäämään muutostavoite'!T15</f>
        <v>1E-3</v>
      </c>
      <c r="V14" s="95">
        <f t="shared" si="8"/>
        <v>-4.5841919157113458E-3</v>
      </c>
      <c r="W14" s="148">
        <f t="shared" si="9"/>
        <v>0</v>
      </c>
      <c r="X14" s="110">
        <f t="shared" si="16"/>
        <v>-1.0944496756947631E-3</v>
      </c>
      <c r="Y14" s="148" t="str">
        <f t="shared" si="13"/>
        <v>MTO saavutettu</v>
      </c>
      <c r="Z14" s="168">
        <f t="shared" si="15"/>
        <v>0</v>
      </c>
      <c r="AA14" s="4"/>
    </row>
    <row r="15" spans="1:27" x14ac:dyDescent="0.2">
      <c r="A15" s="92">
        <v>2016</v>
      </c>
      <c r="B15" s="95"/>
      <c r="C15" s="95"/>
      <c r="D15" s="95"/>
      <c r="E15" s="148"/>
      <c r="F15" s="148"/>
      <c r="G15" s="104"/>
      <c r="H15" s="95"/>
      <c r="I15" s="95"/>
      <c r="J15" s="148"/>
      <c r="K15" s="110"/>
      <c r="L15" s="148"/>
      <c r="M15" s="168"/>
      <c r="N15" s="4"/>
      <c r="O15" s="95">
        <f>'Rakenteellinen jäämä'!P62</f>
        <v>-1.9571231554127259E-3</v>
      </c>
      <c r="P15" s="95">
        <v>-5.0000000000000001E-3</v>
      </c>
      <c r="Q15" s="95">
        <f t="shared" si="3"/>
        <v>3.0428768445872742E-3</v>
      </c>
      <c r="R15" s="168">
        <f t="shared" si="4"/>
        <v>1</v>
      </c>
      <c r="S15" s="148">
        <f t="shared" si="17"/>
        <v>1</v>
      </c>
      <c r="T15" s="95">
        <f t="shared" si="7"/>
        <v>1.6713859245785214E-4</v>
      </c>
      <c r="U15" s="95">
        <f>'rak. jäämään muutostavoite'!T16</f>
        <v>0</v>
      </c>
      <c r="V15" s="95">
        <f t="shared" si="8"/>
        <v>-1.6713859245785214E-4</v>
      </c>
      <c r="W15" s="148">
        <f t="shared" si="9"/>
        <v>0</v>
      </c>
      <c r="X15" s="110">
        <f t="shared" si="16"/>
        <v>-2.3756652540845987E-3</v>
      </c>
      <c r="Y15" s="148" t="str">
        <f t="shared" si="13"/>
        <v>MTO saavutettu</v>
      </c>
      <c r="Z15" s="168">
        <f t="shared" si="15"/>
        <v>0</v>
      </c>
      <c r="AA15" s="4"/>
    </row>
    <row r="16" spans="1:27" x14ac:dyDescent="0.2">
      <c r="A16" s="92">
        <v>2017</v>
      </c>
      <c r="B16" s="108"/>
      <c r="C16" s="108"/>
      <c r="D16" s="108"/>
      <c r="E16" s="148"/>
      <c r="F16" s="148"/>
      <c r="G16" s="108"/>
      <c r="H16" s="95"/>
      <c r="I16" s="95"/>
      <c r="J16" s="148"/>
      <c r="K16" s="108"/>
      <c r="L16" s="88"/>
      <c r="M16" s="88"/>
      <c r="N16" s="4"/>
      <c r="O16" s="95">
        <f>'Rakenteellinen jäämä'!P63</f>
        <v>2.8908046879630943E-4</v>
      </c>
      <c r="P16" s="95">
        <v>-5.0000000000000001E-3</v>
      </c>
      <c r="Q16" s="95">
        <f t="shared" si="3"/>
        <v>5.2890804687963098E-3</v>
      </c>
      <c r="R16" s="168">
        <f t="shared" si="4"/>
        <v>1</v>
      </c>
      <c r="S16" s="148">
        <f t="shared" si="17"/>
        <v>1</v>
      </c>
      <c r="T16" s="95">
        <f t="shared" si="7"/>
        <v>2.2462036242090356E-3</v>
      </c>
      <c r="U16" s="95">
        <f>'rak. jäämään muutostavoite'!T17</f>
        <v>0</v>
      </c>
      <c r="V16" s="95">
        <f t="shared" si="8"/>
        <v>-2.2462036242090356E-3</v>
      </c>
      <c r="W16" s="148">
        <f t="shared" si="9"/>
        <v>0</v>
      </c>
      <c r="X16" s="110">
        <f t="shared" si="16"/>
        <v>-1.2066711083334439E-3</v>
      </c>
      <c r="Y16" s="148" t="str">
        <f t="shared" si="13"/>
        <v>MTO saavutettu</v>
      </c>
      <c r="Z16" s="168">
        <f t="shared" si="15"/>
        <v>0</v>
      </c>
      <c r="AA16" s="4"/>
    </row>
    <row r="17" spans="1:27" ht="15" thickBot="1" x14ac:dyDescent="0.25">
      <c r="A17" s="100">
        <v>2018</v>
      </c>
      <c r="B17" s="116"/>
      <c r="C17" s="116"/>
      <c r="D17" s="116"/>
      <c r="E17" s="101"/>
      <c r="F17" s="101"/>
      <c r="G17" s="116"/>
      <c r="H17" s="116"/>
      <c r="I17" s="102"/>
      <c r="J17" s="101"/>
      <c r="K17" s="116"/>
      <c r="L17" s="115"/>
      <c r="M17" s="115"/>
      <c r="N17" s="28"/>
      <c r="O17" s="102">
        <f>'Rakenteellinen jäämä'!P64</f>
        <v>2.1195997201636334E-3</v>
      </c>
      <c r="P17" s="102">
        <v>-5.0000000000000001E-3</v>
      </c>
      <c r="Q17" s="102">
        <f t="shared" si="3"/>
        <v>7.1195997201636335E-3</v>
      </c>
      <c r="R17" s="171">
        <f t="shared" si="4"/>
        <v>1</v>
      </c>
      <c r="S17" s="101">
        <f t="shared" si="17"/>
        <v>1</v>
      </c>
      <c r="T17" s="102">
        <f t="shared" si="7"/>
        <v>1.8305192513673239E-3</v>
      </c>
      <c r="U17" s="102">
        <f>'rak. jäämään muutostavoite'!T18</f>
        <v>0</v>
      </c>
      <c r="V17" s="102">
        <f t="shared" si="8"/>
        <v>-1.8305192513673239E-3</v>
      </c>
      <c r="W17" s="101">
        <f t="shared" si="9"/>
        <v>0</v>
      </c>
      <c r="X17" s="172">
        <f t="shared" si="16"/>
        <v>-2.0383614377881797E-3</v>
      </c>
      <c r="Y17" s="101" t="str">
        <f t="shared" si="13"/>
        <v>MTO saavutettu</v>
      </c>
      <c r="Z17" s="171">
        <f t="shared" si="15"/>
        <v>0</v>
      </c>
      <c r="AA17" s="28"/>
    </row>
    <row r="18" spans="1:27" ht="15" thickTop="1" x14ac:dyDescent="0.2">
      <c r="B18" s="108"/>
      <c r="C18" s="108"/>
      <c r="D18" s="108"/>
      <c r="G18" s="108"/>
      <c r="H18" s="108"/>
      <c r="J18"/>
      <c r="K18" s="108"/>
      <c r="M18" s="88"/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Z18" s="88"/>
    </row>
    <row r="19" spans="1:27" x14ac:dyDescent="0.2">
      <c r="B19" s="108"/>
      <c r="C19" s="108"/>
      <c r="D19" s="108"/>
      <c r="E19" s="108"/>
      <c r="F19" s="108"/>
      <c r="G19" s="108"/>
      <c r="H19" s="108"/>
      <c r="J19" s="108"/>
      <c r="K19" s="108"/>
      <c r="M19" s="88"/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88"/>
    </row>
    <row r="20" spans="1:27" x14ac:dyDescent="0.2">
      <c r="B20" s="108"/>
      <c r="C20" s="108"/>
      <c r="D20" s="108"/>
      <c r="E20" s="108"/>
      <c r="F20" s="108"/>
      <c r="G20" s="108"/>
      <c r="H20" s="108"/>
      <c r="J20" s="108"/>
      <c r="K20" s="108"/>
      <c r="M20" s="88"/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88"/>
    </row>
    <row r="21" spans="1:27" x14ac:dyDescent="0.2">
      <c r="A21" s="92"/>
      <c r="B21" s="108"/>
      <c r="C21" s="108"/>
      <c r="D21" s="108"/>
      <c r="E21" s="108"/>
      <c r="F21" s="108"/>
      <c r="G21" s="108"/>
      <c r="H21" s="108"/>
      <c r="J21" s="108"/>
      <c r="K21" s="108"/>
      <c r="M21" s="8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88"/>
    </row>
    <row r="22" spans="1:27" x14ac:dyDescent="0.2">
      <c r="A22" s="92"/>
      <c r="B22" s="108"/>
      <c r="C22" s="108"/>
      <c r="D22" s="108"/>
      <c r="E22" s="108"/>
      <c r="F22" s="108"/>
      <c r="G22" s="108"/>
      <c r="H22" s="108"/>
      <c r="J22" s="108"/>
      <c r="K22" s="108"/>
      <c r="M22" s="88"/>
      <c r="O22" s="108"/>
      <c r="P22" s="108"/>
      <c r="Q22" s="108"/>
      <c r="R22" s="108"/>
      <c r="S22" s="108"/>
      <c r="T22" s="108"/>
      <c r="U22" s="108"/>
      <c r="V22" s="108"/>
      <c r="W22" s="108"/>
      <c r="X22" s="108"/>
      <c r="Y22" s="108"/>
      <c r="Z22" s="88"/>
    </row>
    <row r="23" spans="1:27" x14ac:dyDescent="0.2">
      <c r="A23" s="92"/>
      <c r="B23" s="108"/>
      <c r="C23" s="108"/>
      <c r="D23" s="108"/>
      <c r="E23" s="108"/>
      <c r="F23" s="108"/>
      <c r="G23" s="108"/>
      <c r="H23" s="108"/>
      <c r="J23" s="108"/>
      <c r="K23" s="108"/>
      <c r="L23" s="108"/>
      <c r="M23" s="88"/>
      <c r="O23" s="108"/>
      <c r="P23" s="108"/>
      <c r="Q23" s="108"/>
      <c r="R23" s="108"/>
      <c r="S23" s="108"/>
      <c r="T23" s="108"/>
      <c r="U23" s="108"/>
      <c r="V23" s="108"/>
      <c r="W23" s="108"/>
      <c r="X23" s="108"/>
      <c r="Y23" s="108"/>
      <c r="Z23" s="88"/>
    </row>
    <row r="24" spans="1:27" x14ac:dyDescent="0.2">
      <c r="A24" s="92"/>
      <c r="B24" s="108"/>
      <c r="C24" s="108"/>
      <c r="D24" s="108"/>
      <c r="E24" s="108"/>
      <c r="F24" s="108"/>
      <c r="G24" s="108"/>
      <c r="H24" s="108"/>
      <c r="J24" s="108"/>
      <c r="K24" s="108"/>
      <c r="L24" s="108"/>
      <c r="M24" s="8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88"/>
    </row>
    <row r="25" spans="1:27" ht="22.5" x14ac:dyDescent="0.2">
      <c r="A25" s="92" t="s">
        <v>282</v>
      </c>
      <c r="B25" s="94"/>
      <c r="C25" s="94"/>
      <c r="D25" s="94"/>
      <c r="E25" s="148"/>
      <c r="F25" s="148"/>
      <c r="G25" s="94"/>
      <c r="H25" s="148"/>
      <c r="J25" s="94"/>
      <c r="K25" s="317" t="s">
        <v>58</v>
      </c>
      <c r="L25" s="317"/>
      <c r="M25" s="317"/>
      <c r="N25" s="117"/>
      <c r="O25" s="318" t="s">
        <v>59</v>
      </c>
      <c r="P25" s="318"/>
      <c r="Q25" s="318"/>
      <c r="R25" s="318"/>
      <c r="S25" s="318"/>
      <c r="T25" s="318"/>
      <c r="U25" s="318"/>
      <c r="V25" s="318"/>
      <c r="W25" s="318"/>
      <c r="X25" s="318"/>
      <c r="Y25" s="318"/>
      <c r="Z25" s="318"/>
      <c r="AA25" s="4"/>
    </row>
    <row r="26" spans="1:27" ht="57" x14ac:dyDescent="0.2">
      <c r="A26" s="91" t="s">
        <v>1</v>
      </c>
      <c r="B26" s="96" t="s">
        <v>93</v>
      </c>
      <c r="C26" s="148" t="s">
        <v>109</v>
      </c>
      <c r="D26" s="96" t="s">
        <v>112</v>
      </c>
      <c r="E26" s="96" t="s">
        <v>111</v>
      </c>
      <c r="F26" s="294" t="s">
        <v>414</v>
      </c>
      <c r="G26" s="294" t="s">
        <v>338</v>
      </c>
      <c r="H26" s="96" t="s">
        <v>281</v>
      </c>
      <c r="I26" s="96" t="s">
        <v>242</v>
      </c>
      <c r="J26" s="96" t="s">
        <v>245</v>
      </c>
      <c r="K26" s="96" t="s">
        <v>243</v>
      </c>
      <c r="L26" s="96" t="s">
        <v>244</v>
      </c>
      <c r="M26" s="96" t="s">
        <v>110</v>
      </c>
      <c r="N26" s="4"/>
      <c r="O26" s="96" t="s">
        <v>93</v>
      </c>
      <c r="P26" s="148" t="s">
        <v>109</v>
      </c>
      <c r="Q26" s="96" t="s">
        <v>112</v>
      </c>
      <c r="R26" s="294" t="s">
        <v>285</v>
      </c>
      <c r="S26" s="294" t="s">
        <v>414</v>
      </c>
      <c r="T26" s="294" t="s">
        <v>276</v>
      </c>
      <c r="U26" s="96" t="s">
        <v>281</v>
      </c>
      <c r="V26" s="96" t="s">
        <v>242</v>
      </c>
      <c r="W26" s="96" t="s">
        <v>245</v>
      </c>
      <c r="X26" s="96" t="s">
        <v>243</v>
      </c>
      <c r="Y26" s="96" t="s">
        <v>244</v>
      </c>
      <c r="Z26" s="96" t="s">
        <v>110</v>
      </c>
      <c r="AA26" s="4"/>
    </row>
    <row r="27" spans="1:27" x14ac:dyDescent="0.2">
      <c r="A27" s="91"/>
      <c r="B27" s="96"/>
      <c r="C27" s="148"/>
      <c r="D27" s="96"/>
      <c r="G27" s="96"/>
      <c r="H27" s="96"/>
      <c r="I27" s="140"/>
      <c r="J27" s="140"/>
      <c r="K27" s="96"/>
      <c r="L27" s="140"/>
      <c r="M27" s="96"/>
      <c r="N27" s="4"/>
      <c r="O27" s="96"/>
      <c r="P27" s="148"/>
      <c r="Q27" s="96"/>
      <c r="R27" s="96"/>
      <c r="T27" s="96"/>
      <c r="U27" s="96"/>
      <c r="X27" s="96"/>
      <c r="Y27" s="140"/>
      <c r="Z27" s="96"/>
      <c r="AA27" s="4"/>
    </row>
    <row r="28" spans="1:27" ht="15" thickBot="1" x14ac:dyDescent="0.25">
      <c r="A28" s="103" t="s">
        <v>0</v>
      </c>
      <c r="B28" s="103"/>
      <c r="C28" s="103"/>
      <c r="D28" s="103"/>
      <c r="E28" s="101" t="s">
        <v>225</v>
      </c>
      <c r="F28" s="101" t="s">
        <v>415</v>
      </c>
      <c r="G28" s="103"/>
      <c r="H28" s="103"/>
      <c r="I28" s="103"/>
      <c r="J28" s="101" t="s">
        <v>225</v>
      </c>
      <c r="K28" s="103"/>
      <c r="L28" s="101" t="s">
        <v>225</v>
      </c>
      <c r="M28" s="101" t="s">
        <v>225</v>
      </c>
      <c r="N28" s="28"/>
      <c r="O28" s="103"/>
      <c r="P28" s="103"/>
      <c r="Q28" s="103"/>
      <c r="R28" s="101" t="s">
        <v>225</v>
      </c>
      <c r="S28" s="101" t="s">
        <v>225</v>
      </c>
      <c r="T28" s="103"/>
      <c r="U28" s="103"/>
      <c r="V28" s="103"/>
      <c r="W28" s="101" t="s">
        <v>225</v>
      </c>
      <c r="X28" s="103"/>
      <c r="Y28" s="101" t="s">
        <v>225</v>
      </c>
      <c r="Z28" s="101" t="s">
        <v>225</v>
      </c>
      <c r="AA28" s="28"/>
    </row>
    <row r="29" spans="1:27" ht="15" thickTop="1" x14ac:dyDescent="0.2">
      <c r="A29" s="92">
        <v>2006</v>
      </c>
      <c r="B29" s="95">
        <f>'Rakenteellinen jäämä'!H52</f>
        <v>3.2556000000000002E-2</v>
      </c>
      <c r="C29" s="95">
        <v>0.02</v>
      </c>
      <c r="D29" s="95">
        <f>B29-C29</f>
        <v>1.2556000000000001E-2</v>
      </c>
      <c r="E29" s="148">
        <f>IF(D29&lt;-0.0025,0,1)</f>
        <v>1</v>
      </c>
      <c r="F29" s="148">
        <f>IF(D29&gt;0,1,0)</f>
        <v>1</v>
      </c>
      <c r="G29" s="95"/>
      <c r="H29" s="95"/>
      <c r="I29" s="148"/>
      <c r="J29" s="140"/>
      <c r="K29" s="148"/>
      <c r="L29" s="140"/>
      <c r="M29" s="104"/>
      <c r="N29" s="4"/>
      <c r="O29" s="95">
        <f>'Rakenteellinen jäämä'!Q52</f>
        <v>3.2063420765128255E-2</v>
      </c>
      <c r="P29" s="95">
        <v>0.02</v>
      </c>
      <c r="Q29" s="95">
        <f>O29-P29</f>
        <v>1.2063420765128254E-2</v>
      </c>
      <c r="R29" s="168">
        <f>IF(Q29&lt;-0.0025,0,1)</f>
        <v>1</v>
      </c>
      <c r="S29" s="148">
        <f>IF(Q29&gt;0,1,0)</f>
        <v>1</v>
      </c>
      <c r="T29" s="95"/>
      <c r="U29" s="95"/>
      <c r="X29" s="148"/>
      <c r="Y29" s="140"/>
      <c r="Z29" s="104"/>
      <c r="AA29" s="4"/>
    </row>
    <row r="30" spans="1:27" x14ac:dyDescent="0.2">
      <c r="A30" s="92">
        <v>2007</v>
      </c>
      <c r="B30" s="95">
        <f>'Rakenteellinen jäämä'!H53</f>
        <v>2.8001000000000002E-2</v>
      </c>
      <c r="C30" s="95">
        <v>0.01</v>
      </c>
      <c r="D30" s="95">
        <f t="shared" ref="D30:D32" si="18">B30-C30</f>
        <v>1.8001000000000003E-2</v>
      </c>
      <c r="E30" s="148">
        <f t="shared" ref="E30:E36" si="19">IF(D30&lt;-0.0025,0,1)</f>
        <v>1</v>
      </c>
      <c r="F30" s="148">
        <f t="shared" ref="F30:F37" si="20">IF(D30&gt;0,1,0)</f>
        <v>1</v>
      </c>
      <c r="G30" s="104">
        <f>B30-B29</f>
        <v>-4.555E-3</v>
      </c>
      <c r="H30" s="95">
        <f>'rak. jäämään muutostavoite'!J7</f>
        <v>0</v>
      </c>
      <c r="I30" s="95">
        <f>H30-G30</f>
        <v>4.555E-3</v>
      </c>
      <c r="J30" s="148">
        <f>IF(I30&gt;0.005,1,0)</f>
        <v>0</v>
      </c>
      <c r="K30" s="148"/>
      <c r="L30" s="140"/>
      <c r="M30" s="104"/>
      <c r="N30" s="4"/>
      <c r="O30" s="95">
        <f>'Rakenteellinen jäämä'!Q53</f>
        <v>2.7332956232504663E-2</v>
      </c>
      <c r="P30" s="95">
        <v>0.01</v>
      </c>
      <c r="Q30" s="95">
        <f t="shared" ref="Q30:Q41" si="21">O30-P30</f>
        <v>1.7332956232504665E-2</v>
      </c>
      <c r="R30" s="168">
        <f t="shared" ref="R30:R41" si="22">IF(Q30&lt;-0.0025,0,1)</f>
        <v>1</v>
      </c>
      <c r="S30" s="148">
        <f t="shared" ref="S30:S36" si="23">IF(Q30&gt;0,1,0)</f>
        <v>1</v>
      </c>
      <c r="T30" s="95">
        <f>O30-O29</f>
        <v>-4.7304645326235913E-3</v>
      </c>
      <c r="U30" s="95">
        <f>'rak. jäämään muutostavoite'!T7</f>
        <v>0</v>
      </c>
      <c r="V30" s="95">
        <f>U30-T30</f>
        <v>4.7304645326235913E-3</v>
      </c>
      <c r="W30" s="148">
        <f>IF(V30&gt;0.005,1,0)</f>
        <v>0</v>
      </c>
      <c r="X30" s="148"/>
      <c r="Y30" s="140"/>
      <c r="Z30" s="104"/>
      <c r="AA30" s="4"/>
    </row>
    <row r="31" spans="1:27" ht="14.25" customHeight="1" x14ac:dyDescent="0.2">
      <c r="A31" s="92">
        <v>2008</v>
      </c>
      <c r="B31" s="95">
        <f>'Rakenteellinen jäämä'!H54</f>
        <v>2.5343000000000001E-2</v>
      </c>
      <c r="C31" s="95">
        <v>5.0000000000000001E-3</v>
      </c>
      <c r="D31" s="95">
        <f t="shared" si="18"/>
        <v>2.0343E-2</v>
      </c>
      <c r="E31" s="148">
        <f t="shared" si="19"/>
        <v>1</v>
      </c>
      <c r="F31" s="148">
        <f t="shared" si="20"/>
        <v>1</v>
      </c>
      <c r="G31" s="104">
        <f>B31-B30</f>
        <v>-2.6580000000000006E-3</v>
      </c>
      <c r="H31" s="95">
        <f>'rak. jäämään muutostavoite'!J8</f>
        <v>0</v>
      </c>
      <c r="I31" s="95">
        <f>H31-G31</f>
        <v>2.6580000000000006E-3</v>
      </c>
      <c r="J31" s="148">
        <f>IF(I31&gt;0.005,1,0)</f>
        <v>0</v>
      </c>
      <c r="K31" s="110">
        <f>(I31+I30)/2</f>
        <v>3.6065000000000003E-3</v>
      </c>
      <c r="L31" s="148" t="str">
        <f>IF(E31=1,"MTO saavutettu",IF(K31&gt;0.0025,1,0))</f>
        <v>MTO saavutettu</v>
      </c>
      <c r="M31" s="168">
        <f>IF(OR(J31=1,L31=1),1,0)</f>
        <v>0</v>
      </c>
      <c r="N31" s="4"/>
      <c r="O31" s="95">
        <f>'Rakenteellinen jäämä'!Q54</f>
        <v>2.4709794877329827E-2</v>
      </c>
      <c r="P31" s="95">
        <v>5.0000000000000001E-3</v>
      </c>
      <c r="Q31" s="95">
        <f t="shared" si="21"/>
        <v>1.9709794877329826E-2</v>
      </c>
      <c r="R31" s="168">
        <f t="shared" si="22"/>
        <v>1</v>
      </c>
      <c r="S31" s="148">
        <f t="shared" si="23"/>
        <v>1</v>
      </c>
      <c r="T31" s="95">
        <f t="shared" ref="T31:T41" si="24">O31-O30</f>
        <v>-2.6231613551748363E-3</v>
      </c>
      <c r="U31" s="95">
        <f>'rak. jäämään muutostavoite'!T8</f>
        <v>0</v>
      </c>
      <c r="V31" s="95">
        <f>U31-T31</f>
        <v>2.6231613551748363E-3</v>
      </c>
      <c r="W31" s="148">
        <f t="shared" ref="W31:W41" si="25">IF(V31&gt;0.005,1,0)</f>
        <v>0</v>
      </c>
      <c r="X31" s="110">
        <f>(V31+V30)/2</f>
        <v>3.6768129438992138E-3</v>
      </c>
      <c r="Y31" s="148" t="str">
        <f>IF(R31=1,"MTO saavutettu",IF(X31&gt;0.0025,1,0))</f>
        <v>MTO saavutettu</v>
      </c>
      <c r="Z31" s="168">
        <f>IF(OR(W31=1,Y31=1),1,0)</f>
        <v>0</v>
      </c>
      <c r="AA31" s="4"/>
    </row>
    <row r="32" spans="1:27" x14ac:dyDescent="0.2">
      <c r="A32" s="92">
        <v>2009</v>
      </c>
      <c r="B32" s="95">
        <f>'Rakenteellinen jäämä'!H55</f>
        <v>5.47E-3</v>
      </c>
      <c r="C32" s="95">
        <v>5.0000000000000001E-3</v>
      </c>
      <c r="D32" s="95">
        <f t="shared" si="18"/>
        <v>4.6999999999999993E-4</v>
      </c>
      <c r="E32" s="148">
        <f t="shared" si="19"/>
        <v>1</v>
      </c>
      <c r="F32" s="148">
        <f t="shared" si="20"/>
        <v>1</v>
      </c>
      <c r="G32" s="104">
        <f t="shared" ref="G32:G36" si="26">B32-B31</f>
        <v>-1.9873000000000002E-2</v>
      </c>
      <c r="H32" s="95">
        <f>'rak. jäämään muutostavoite'!J9</f>
        <v>0</v>
      </c>
      <c r="I32" s="95">
        <f>H32-G32</f>
        <v>1.9873000000000002E-2</v>
      </c>
      <c r="J32" s="148">
        <f t="shared" ref="J32:J37" si="27">IF(I32&gt;0.005,1,0)</f>
        <v>1</v>
      </c>
      <c r="K32" s="110">
        <f>(I32+I31)/2</f>
        <v>1.1265500000000001E-2</v>
      </c>
      <c r="L32" s="148" t="str">
        <f t="shared" ref="L32:L37" si="28">IF(E32=1,"MTO saavutettu",IF(K32&gt;0.0025,1,0))</f>
        <v>MTO saavutettu</v>
      </c>
      <c r="M32" s="168">
        <f t="shared" ref="M32:M35" si="29">IF(OR(J32=1,L32=1),1,0)</f>
        <v>1</v>
      </c>
      <c r="N32" s="4"/>
      <c r="O32" s="95">
        <f>'Rakenteellinen jäämä'!Q55</f>
        <v>4.4971458975262826E-3</v>
      </c>
      <c r="P32" s="95">
        <v>5.0000000000000001E-3</v>
      </c>
      <c r="Q32" s="95">
        <f t="shared" si="21"/>
        <v>-5.0285410247371751E-4</v>
      </c>
      <c r="R32" s="168">
        <f t="shared" si="22"/>
        <v>1</v>
      </c>
      <c r="S32" s="148">
        <f t="shared" si="23"/>
        <v>0</v>
      </c>
      <c r="T32" s="95">
        <f t="shared" si="24"/>
        <v>-2.0212648979803544E-2</v>
      </c>
      <c r="U32" s="95">
        <f>'rak. jäämään muutostavoite'!T9</f>
        <v>0</v>
      </c>
      <c r="V32" s="95">
        <f>U32-T32</f>
        <v>2.0212648979803544E-2</v>
      </c>
      <c r="W32" s="148">
        <f t="shared" si="25"/>
        <v>1</v>
      </c>
      <c r="X32" s="110">
        <f>(V32+V31)/2</f>
        <v>1.141790516748919E-2</v>
      </c>
      <c r="Y32" s="148" t="str">
        <f t="shared" ref="Y32:Y41" si="30">IF(R32=1,"MTO saavutettu",IF(X32&gt;0.0025,1,0))</f>
        <v>MTO saavutettu</v>
      </c>
      <c r="Z32" s="168" t="s">
        <v>246</v>
      </c>
      <c r="AA32" s="4"/>
    </row>
    <row r="33" spans="1:27" x14ac:dyDescent="0.2">
      <c r="A33" s="92">
        <v>2010</v>
      </c>
      <c r="B33" s="95">
        <f>'Rakenteellinen jäämä'!H56</f>
        <v>-1.0211E-2</v>
      </c>
      <c r="C33" s="95">
        <v>5.0000000000000001E-3</v>
      </c>
      <c r="D33" s="95">
        <f>B33-C33</f>
        <v>-1.5210999999999999E-2</v>
      </c>
      <c r="E33" s="148">
        <f t="shared" si="19"/>
        <v>0</v>
      </c>
      <c r="F33" s="148">
        <f t="shared" si="20"/>
        <v>0</v>
      </c>
      <c r="G33" s="104">
        <f t="shared" si="26"/>
        <v>-1.5681E-2</v>
      </c>
      <c r="H33" s="95" t="str">
        <f>'rak. jäämään muutostavoite'!J10</f>
        <v>-</v>
      </c>
      <c r="I33" s="95" t="s">
        <v>246</v>
      </c>
      <c r="J33" s="148" t="s">
        <v>246</v>
      </c>
      <c r="K33" s="110" t="s">
        <v>246</v>
      </c>
      <c r="L33" s="148" t="s">
        <v>246</v>
      </c>
      <c r="M33" s="168">
        <f t="shared" si="29"/>
        <v>0</v>
      </c>
      <c r="N33" s="4"/>
      <c r="O33" s="95">
        <f>'Rakenteellinen jäämä'!Q56</f>
        <v>-9.1350188221891102E-3</v>
      </c>
      <c r="P33" s="95">
        <v>5.0000000000000001E-3</v>
      </c>
      <c r="Q33" s="95">
        <f t="shared" si="21"/>
        <v>-1.4135018822189111E-2</v>
      </c>
      <c r="R33" s="168">
        <f t="shared" si="22"/>
        <v>0</v>
      </c>
      <c r="S33" s="148">
        <f t="shared" si="23"/>
        <v>0</v>
      </c>
      <c r="T33" s="95">
        <f t="shared" si="24"/>
        <v>-1.3632164719715394E-2</v>
      </c>
      <c r="U33" s="95" t="str">
        <f>'rak. jäämään muutostavoite'!T10</f>
        <v>-</v>
      </c>
      <c r="V33" s="95" t="s">
        <v>246</v>
      </c>
      <c r="W33" s="148" t="s">
        <v>246</v>
      </c>
      <c r="X33" s="110" t="s">
        <v>246</v>
      </c>
      <c r="Y33" s="148" t="s">
        <v>246</v>
      </c>
      <c r="Z33" s="168" t="s">
        <v>246</v>
      </c>
      <c r="AA33" s="4"/>
    </row>
    <row r="34" spans="1:27" x14ac:dyDescent="0.2">
      <c r="A34" s="92">
        <v>2011</v>
      </c>
      <c r="B34" s="95">
        <f>'Rakenteellinen jäämä'!H57</f>
        <v>-5.1219999999999998E-3</v>
      </c>
      <c r="C34" s="95">
        <v>5.0000000000000001E-3</v>
      </c>
      <c r="D34" s="95">
        <f t="shared" ref="D34:D37" si="31">B34-C34</f>
        <v>-1.0121999999999999E-2</v>
      </c>
      <c r="E34" s="148">
        <f t="shared" si="19"/>
        <v>0</v>
      </c>
      <c r="F34" s="148">
        <f t="shared" si="20"/>
        <v>0</v>
      </c>
      <c r="G34" s="104">
        <f t="shared" si="26"/>
        <v>5.0889999999999998E-3</v>
      </c>
      <c r="H34" s="95">
        <f>'rak. jäämään muutostavoite'!J11</f>
        <v>1E-3</v>
      </c>
      <c r="I34" s="95">
        <f t="shared" ref="I34" si="32">H34-G34</f>
        <v>-4.0889999999999998E-3</v>
      </c>
      <c r="J34" s="148">
        <f t="shared" si="27"/>
        <v>0</v>
      </c>
      <c r="K34" s="110" t="s">
        <v>246</v>
      </c>
      <c r="L34" s="148" t="s">
        <v>246</v>
      </c>
      <c r="M34" s="168">
        <f t="shared" si="29"/>
        <v>0</v>
      </c>
      <c r="N34" s="4"/>
      <c r="O34" s="95">
        <f>'Rakenteellinen jäämä'!Q57</f>
        <v>-6.113398052622088E-3</v>
      </c>
      <c r="P34" s="95">
        <v>5.0000000000000001E-3</v>
      </c>
      <c r="Q34" s="95">
        <f t="shared" si="21"/>
        <v>-1.1113398052622087E-2</v>
      </c>
      <c r="R34" s="168">
        <f t="shared" si="22"/>
        <v>0</v>
      </c>
      <c r="S34" s="148">
        <f t="shared" si="23"/>
        <v>0</v>
      </c>
      <c r="T34" s="95">
        <f t="shared" si="24"/>
        <v>3.0216207695670221E-3</v>
      </c>
      <c r="U34" s="95">
        <f>'rak. jäämään muutostavoite'!T11</f>
        <v>1E-3</v>
      </c>
      <c r="V34" s="95">
        <f t="shared" ref="V34:V41" si="33">U34-T34</f>
        <v>-2.0216207695670221E-3</v>
      </c>
      <c r="W34" s="148">
        <f t="shared" si="25"/>
        <v>0</v>
      </c>
      <c r="X34" s="110" t="s">
        <v>246</v>
      </c>
      <c r="Y34" s="148" t="s">
        <v>246</v>
      </c>
      <c r="Z34" s="168">
        <f t="shared" ref="Z34:Z41" si="34">IF(OR(W34=1,Y34=1),1,0)</f>
        <v>0</v>
      </c>
      <c r="AA34" s="4"/>
    </row>
    <row r="35" spans="1:27" x14ac:dyDescent="0.2">
      <c r="A35" s="92">
        <v>2012</v>
      </c>
      <c r="B35" s="95">
        <f>'Rakenteellinen jäämä'!H58</f>
        <v>-9.7130000000000011E-3</v>
      </c>
      <c r="C35" s="95">
        <v>5.0000000000000001E-3</v>
      </c>
      <c r="D35" s="95">
        <f t="shared" si="31"/>
        <v>-1.4713E-2</v>
      </c>
      <c r="E35" s="148">
        <f t="shared" si="19"/>
        <v>0</v>
      </c>
      <c r="F35" s="148">
        <f t="shared" si="20"/>
        <v>0</v>
      </c>
      <c r="G35" s="104">
        <f t="shared" si="26"/>
        <v>-4.5910000000000013E-3</v>
      </c>
      <c r="H35" s="95">
        <f>'rak. jäämään muutostavoite'!J12</f>
        <v>5.0000000000000001E-3</v>
      </c>
      <c r="I35" s="95">
        <f>H35-G35</f>
        <v>9.5910000000000023E-3</v>
      </c>
      <c r="J35" s="148">
        <f t="shared" si="27"/>
        <v>1</v>
      </c>
      <c r="K35" s="110">
        <f t="shared" ref="K35" si="35">(I35+I34)/2</f>
        <v>2.7510000000000013E-3</v>
      </c>
      <c r="L35" s="148">
        <f t="shared" si="28"/>
        <v>1</v>
      </c>
      <c r="M35" s="168">
        <f t="shared" si="29"/>
        <v>1</v>
      </c>
      <c r="N35" s="4"/>
      <c r="O35" s="95">
        <f>'Rakenteellinen jäämä'!Q58</f>
        <v>-1.0376517356905346E-2</v>
      </c>
      <c r="P35" s="95">
        <v>5.0000000000000001E-3</v>
      </c>
      <c r="Q35" s="95">
        <f t="shared" si="21"/>
        <v>-1.5376517356905345E-2</v>
      </c>
      <c r="R35" s="168">
        <f t="shared" si="22"/>
        <v>0</v>
      </c>
      <c r="S35" s="148">
        <f t="shared" si="23"/>
        <v>0</v>
      </c>
      <c r="T35" s="95">
        <f t="shared" si="24"/>
        <v>-4.2631193042832576E-3</v>
      </c>
      <c r="U35" s="95">
        <f>'rak. jäämään muutostavoite'!T12</f>
        <v>5.0000000000000001E-3</v>
      </c>
      <c r="V35" s="95">
        <f t="shared" si="33"/>
        <v>9.2631193042832585E-3</v>
      </c>
      <c r="W35" s="148">
        <f t="shared" si="25"/>
        <v>1</v>
      </c>
      <c r="X35" s="110">
        <f t="shared" ref="X35:X41" si="36">(V35+V34)/2</f>
        <v>3.6207492673581182E-3</v>
      </c>
      <c r="Y35" s="148">
        <f t="shared" si="30"/>
        <v>1</v>
      </c>
      <c r="Z35" s="168">
        <f t="shared" si="34"/>
        <v>1</v>
      </c>
      <c r="AA35" s="4"/>
    </row>
    <row r="36" spans="1:27" x14ac:dyDescent="0.2">
      <c r="A36" s="92">
        <v>2013</v>
      </c>
      <c r="B36" s="111">
        <f>'Rakenteellinen jäämä'!H59</f>
        <v>-9.3550000000000005E-3</v>
      </c>
      <c r="C36" s="111">
        <v>-5.0000000000000001E-3</v>
      </c>
      <c r="D36" s="111">
        <f t="shared" si="31"/>
        <v>-4.3550000000000004E-3</v>
      </c>
      <c r="E36" s="112">
        <f t="shared" si="19"/>
        <v>0</v>
      </c>
      <c r="F36" s="112">
        <f t="shared" si="20"/>
        <v>0</v>
      </c>
      <c r="G36" s="113">
        <f t="shared" si="26"/>
        <v>3.5800000000000068E-4</v>
      </c>
      <c r="H36" s="111">
        <f>'rak. jäämään muutostavoite'!J13</f>
        <v>5.0000000000000001E-3</v>
      </c>
      <c r="I36" s="111">
        <f t="shared" ref="I36:I37" si="37">H36-G36</f>
        <v>4.6419999999999994E-3</v>
      </c>
      <c r="J36" s="112">
        <f t="shared" si="27"/>
        <v>0</v>
      </c>
      <c r="K36" s="114">
        <f>(I36+I35)/2</f>
        <v>7.1165000000000013E-3</v>
      </c>
      <c r="L36" s="112">
        <f t="shared" si="28"/>
        <v>1</v>
      </c>
      <c r="M36" s="170">
        <f>IF(OR(J36=1,L36=1),1,0)</f>
        <v>1</v>
      </c>
      <c r="N36" s="4"/>
      <c r="O36" s="111">
        <f>'Rakenteellinen jäämä'!Q59</f>
        <v>-4.2582350516677803E-3</v>
      </c>
      <c r="P36" s="111">
        <v>-5.0000000000000001E-3</v>
      </c>
      <c r="Q36" s="113">
        <f t="shared" si="21"/>
        <v>7.4176494833221984E-4</v>
      </c>
      <c r="R36" s="170">
        <f t="shared" si="22"/>
        <v>1</v>
      </c>
      <c r="S36" s="112">
        <f t="shared" si="23"/>
        <v>1</v>
      </c>
      <c r="T36" s="111">
        <f t="shared" si="24"/>
        <v>6.1182823052375653E-3</v>
      </c>
      <c r="U36" s="111">
        <f>'rak. jäämään muutostavoite'!T13</f>
        <v>5.0000000000000001E-3</v>
      </c>
      <c r="V36" s="111">
        <f t="shared" si="33"/>
        <v>-1.1182823052375652E-3</v>
      </c>
      <c r="W36" s="112">
        <f t="shared" si="25"/>
        <v>0</v>
      </c>
      <c r="X36" s="114">
        <f t="shared" si="36"/>
        <v>4.0724184995228462E-3</v>
      </c>
      <c r="Y36" s="112" t="str">
        <f t="shared" si="30"/>
        <v>MTO saavutettu</v>
      </c>
      <c r="Z36" s="170">
        <f t="shared" si="34"/>
        <v>0</v>
      </c>
      <c r="AA36" s="4"/>
    </row>
    <row r="37" spans="1:27" x14ac:dyDescent="0.2">
      <c r="A37" s="92">
        <v>2014</v>
      </c>
      <c r="B37" s="95">
        <f>'Rakenteellinen jäämä'!H60</f>
        <v>-1.1512E-2</v>
      </c>
      <c r="C37" s="95">
        <v>-5.0000000000000001E-3</v>
      </c>
      <c r="D37" s="95">
        <f t="shared" si="31"/>
        <v>-6.5119999999999996E-3</v>
      </c>
      <c r="E37" s="148">
        <f>IF(D37&lt;-0.0025,0,1)</f>
        <v>0</v>
      </c>
      <c r="F37" s="148">
        <f t="shared" si="20"/>
        <v>0</v>
      </c>
      <c r="G37" s="104">
        <f>B37-B36</f>
        <v>-2.1569999999999992E-3</v>
      </c>
      <c r="H37" s="95">
        <f>'rak. jäämään muutostavoite'!J14</f>
        <v>0</v>
      </c>
      <c r="I37" s="95">
        <f t="shared" si="37"/>
        <v>2.1569999999999992E-3</v>
      </c>
      <c r="J37" s="148">
        <f t="shared" si="27"/>
        <v>0</v>
      </c>
      <c r="K37" s="110">
        <f t="shared" ref="K37" si="38">(I37+I36)/2</f>
        <v>3.3994999999999993E-3</v>
      </c>
      <c r="L37" s="148">
        <f t="shared" si="28"/>
        <v>1</v>
      </c>
      <c r="M37" s="148">
        <f>IF(E37=0,IF(OR(J37=1,L37=1),1,0),"MTO saavutettu")</f>
        <v>1</v>
      </c>
      <c r="N37" s="4"/>
      <c r="O37" s="95">
        <f>'Rakenteellinen jäämä'!Q60</f>
        <v>-6.6395989945867194E-3</v>
      </c>
      <c r="P37" s="95">
        <v>-5.0000000000000001E-3</v>
      </c>
      <c r="Q37" s="95">
        <f t="shared" si="21"/>
        <v>-1.6395989945867193E-3</v>
      </c>
      <c r="R37" s="168">
        <f t="shared" si="22"/>
        <v>1</v>
      </c>
      <c r="S37" s="148">
        <f>IF(Q37&gt;0,1,0)</f>
        <v>0</v>
      </c>
      <c r="T37" s="95">
        <f t="shared" si="24"/>
        <v>-2.3813639429189392E-3</v>
      </c>
      <c r="U37" s="95">
        <f>'rak. jäämään muutostavoite'!T14</f>
        <v>0</v>
      </c>
      <c r="V37" s="95">
        <f t="shared" si="33"/>
        <v>2.3813639429189392E-3</v>
      </c>
      <c r="W37" s="148">
        <f t="shared" si="25"/>
        <v>0</v>
      </c>
      <c r="X37" s="110">
        <f t="shared" si="36"/>
        <v>6.3154081884068698E-4</v>
      </c>
      <c r="Y37" s="148" t="str">
        <f t="shared" si="30"/>
        <v>MTO saavutettu</v>
      </c>
      <c r="Z37" s="168">
        <f t="shared" si="34"/>
        <v>0</v>
      </c>
      <c r="AA37" s="4"/>
    </row>
    <row r="38" spans="1:27" x14ac:dyDescent="0.2">
      <c r="A38" s="92">
        <v>2015</v>
      </c>
      <c r="B38" s="95"/>
      <c r="C38" s="95"/>
      <c r="D38" s="95"/>
      <c r="E38" s="148"/>
      <c r="F38" s="148"/>
      <c r="G38" s="104"/>
      <c r="H38" s="95"/>
      <c r="I38" s="95"/>
      <c r="J38" s="148"/>
      <c r="K38" s="110"/>
      <c r="L38" s="148"/>
      <c r="M38" s="168"/>
      <c r="N38" s="4"/>
      <c r="O38" s="95">
        <f>'Rakenteellinen jäämä'!Q61</f>
        <v>-1.0484965622967509E-3</v>
      </c>
      <c r="P38" s="95">
        <v>-5.0000000000000001E-3</v>
      </c>
      <c r="Q38" s="95">
        <f t="shared" si="21"/>
        <v>3.951503437703249E-3</v>
      </c>
      <c r="R38" s="168">
        <f t="shared" si="22"/>
        <v>1</v>
      </c>
      <c r="S38" s="148">
        <f t="shared" ref="S38:S41" si="39">IF(Q38&gt;0,1,0)</f>
        <v>1</v>
      </c>
      <c r="T38" s="95">
        <f t="shared" si="24"/>
        <v>5.5911024322899683E-3</v>
      </c>
      <c r="U38" s="95">
        <f>'rak. jäämään muutostavoite'!T15</f>
        <v>1E-3</v>
      </c>
      <c r="V38" s="95">
        <f t="shared" si="33"/>
        <v>-4.5911024322899683E-3</v>
      </c>
      <c r="W38" s="148">
        <f t="shared" si="25"/>
        <v>0</v>
      </c>
      <c r="X38" s="110">
        <f t="shared" si="36"/>
        <v>-1.1048692446855145E-3</v>
      </c>
      <c r="Y38" s="148" t="str">
        <f t="shared" si="30"/>
        <v>MTO saavutettu</v>
      </c>
      <c r="Z38" s="168">
        <f t="shared" si="34"/>
        <v>0</v>
      </c>
      <c r="AA38" s="4"/>
    </row>
    <row r="39" spans="1:27" x14ac:dyDescent="0.2">
      <c r="A39" s="92">
        <v>2016</v>
      </c>
      <c r="B39" s="95"/>
      <c r="C39" s="95"/>
      <c r="D39" s="95"/>
      <c r="E39" s="148"/>
      <c r="F39" s="148"/>
      <c r="G39" s="104"/>
      <c r="H39" s="95"/>
      <c r="I39" s="95"/>
      <c r="J39" s="148"/>
      <c r="K39" s="110"/>
      <c r="L39" s="148"/>
      <c r="M39" s="168"/>
      <c r="N39" s="4"/>
      <c r="O39" s="95">
        <f>'Rakenteellinen jäämä'!Q62</f>
        <v>-8.9425421323719671E-4</v>
      </c>
      <c r="P39" s="95">
        <v>-5.0000000000000001E-3</v>
      </c>
      <c r="Q39" s="95">
        <f t="shared" si="21"/>
        <v>4.1057457867628034E-3</v>
      </c>
      <c r="R39" s="168">
        <f t="shared" si="22"/>
        <v>1</v>
      </c>
      <c r="S39" s="148">
        <f t="shared" si="39"/>
        <v>1</v>
      </c>
      <c r="T39" s="95">
        <f t="shared" si="24"/>
        <v>1.5424234905955423E-4</v>
      </c>
      <c r="U39" s="95">
        <f>'rak. jäämään muutostavoite'!T16</f>
        <v>0</v>
      </c>
      <c r="V39" s="95">
        <f t="shared" si="33"/>
        <v>-1.5424234905955423E-4</v>
      </c>
      <c r="W39" s="148">
        <f t="shared" si="25"/>
        <v>0</v>
      </c>
      <c r="X39" s="110">
        <f t="shared" si="36"/>
        <v>-2.3726723906747614E-3</v>
      </c>
      <c r="Y39" s="148" t="str">
        <f t="shared" si="30"/>
        <v>MTO saavutettu</v>
      </c>
      <c r="Z39" s="168">
        <f t="shared" si="34"/>
        <v>0</v>
      </c>
      <c r="AA39" s="4"/>
    </row>
    <row r="40" spans="1:27" x14ac:dyDescent="0.2">
      <c r="A40" s="92">
        <v>2017</v>
      </c>
      <c r="B40" s="108"/>
      <c r="C40" s="108"/>
      <c r="D40" s="108"/>
      <c r="E40" s="148"/>
      <c r="F40" s="148"/>
      <c r="G40" s="108"/>
      <c r="H40" s="95"/>
      <c r="I40" s="95"/>
      <c r="J40" s="148"/>
      <c r="K40" s="108"/>
      <c r="L40" s="88"/>
      <c r="M40" s="88"/>
      <c r="N40" s="4"/>
      <c r="O40" s="95">
        <f>'Rakenteellinen jäämä'!Q63</f>
        <v>1.4121767069227111E-3</v>
      </c>
      <c r="P40" s="95">
        <v>-5.0000000000000001E-3</v>
      </c>
      <c r="Q40" s="95">
        <f t="shared" si="21"/>
        <v>6.4121767069227117E-3</v>
      </c>
      <c r="R40" s="168">
        <f t="shared" si="22"/>
        <v>1</v>
      </c>
      <c r="S40" s="148">
        <f t="shared" si="39"/>
        <v>1</v>
      </c>
      <c r="T40" s="95">
        <f t="shared" si="24"/>
        <v>2.3064309201599078E-3</v>
      </c>
      <c r="U40" s="95">
        <f>'rak. jäämään muutostavoite'!T17</f>
        <v>0</v>
      </c>
      <c r="V40" s="95">
        <f t="shared" si="33"/>
        <v>-2.3064309201599078E-3</v>
      </c>
      <c r="W40" s="148">
        <f t="shared" si="25"/>
        <v>0</v>
      </c>
      <c r="X40" s="110">
        <f t="shared" si="36"/>
        <v>-1.2303366346097309E-3</v>
      </c>
      <c r="Y40" s="148" t="str">
        <f t="shared" si="30"/>
        <v>MTO saavutettu</v>
      </c>
      <c r="Z40" s="168">
        <f t="shared" si="34"/>
        <v>0</v>
      </c>
      <c r="AA40" s="4"/>
    </row>
    <row r="41" spans="1:27" ht="15" thickBot="1" x14ac:dyDescent="0.25">
      <c r="A41" s="100">
        <v>2018</v>
      </c>
      <c r="B41" s="116"/>
      <c r="C41" s="116"/>
      <c r="D41" s="116"/>
      <c r="E41" s="101"/>
      <c r="F41" s="101"/>
      <c r="G41" s="116"/>
      <c r="H41" s="116"/>
      <c r="I41" s="102"/>
      <c r="J41" s="101"/>
      <c r="K41" s="116"/>
      <c r="L41" s="115"/>
      <c r="M41" s="115"/>
      <c r="N41" s="28"/>
      <c r="O41" s="102">
        <f>'Rakenteellinen jäämä'!Q64</f>
        <v>2.7815468016389646E-3</v>
      </c>
      <c r="P41" s="102">
        <v>-5.0000000000000001E-3</v>
      </c>
      <c r="Q41" s="102">
        <f t="shared" si="21"/>
        <v>7.7815468016389647E-3</v>
      </c>
      <c r="R41" s="171">
        <f t="shared" si="22"/>
        <v>1</v>
      </c>
      <c r="S41" s="101">
        <f t="shared" si="39"/>
        <v>1</v>
      </c>
      <c r="T41" s="102">
        <f t="shared" si="24"/>
        <v>1.3693700947162535E-3</v>
      </c>
      <c r="U41" s="102">
        <f>'rak. jäämään muutostavoite'!T18</f>
        <v>0</v>
      </c>
      <c r="V41" s="102">
        <f t="shared" si="33"/>
        <v>-1.3693700947162535E-3</v>
      </c>
      <c r="W41" s="101">
        <f t="shared" si="25"/>
        <v>0</v>
      </c>
      <c r="X41" s="172">
        <f t="shared" si="36"/>
        <v>-1.8379005074380807E-3</v>
      </c>
      <c r="Y41" s="101" t="str">
        <f t="shared" si="30"/>
        <v>MTO saavutettu</v>
      </c>
      <c r="Z41" s="171">
        <f t="shared" si="34"/>
        <v>0</v>
      </c>
      <c r="AA41" s="28"/>
    </row>
    <row r="42" spans="1:27" ht="15" thickTop="1" x14ac:dyDescent="0.2">
      <c r="C42" s="93"/>
      <c r="D42" s="93"/>
      <c r="E42" s="93"/>
      <c r="F42" s="93"/>
      <c r="G42" s="93"/>
      <c r="H42" s="93"/>
      <c r="J42" s="93"/>
      <c r="M42" s="91"/>
      <c r="N42" s="91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Z42" s="88"/>
      <c r="AA42" s="91"/>
    </row>
    <row r="43" spans="1:27" x14ac:dyDescent="0.2">
      <c r="C43" s="93"/>
      <c r="D43" s="93"/>
      <c r="E43" s="93"/>
      <c r="F43" s="93"/>
      <c r="G43" s="93"/>
      <c r="H43" s="93"/>
      <c r="J43" s="93"/>
      <c r="M43" s="91"/>
      <c r="N43" s="91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88"/>
      <c r="AA43" s="91"/>
    </row>
    <row r="44" spans="1:27" x14ac:dyDescent="0.2">
      <c r="C44" s="93"/>
      <c r="D44" s="93"/>
      <c r="E44" s="93"/>
      <c r="F44" s="93"/>
      <c r="G44" s="93"/>
      <c r="H44" s="93"/>
      <c r="J44" s="93"/>
      <c r="M44" s="91"/>
      <c r="N44" s="91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88"/>
      <c r="AA44" s="91"/>
    </row>
    <row r="45" spans="1:27" x14ac:dyDescent="0.2">
      <c r="C45" s="93"/>
      <c r="D45" s="93"/>
      <c r="E45" s="93"/>
      <c r="F45" s="93"/>
      <c r="G45" s="93"/>
      <c r="H45" s="93"/>
      <c r="J45" s="93"/>
      <c r="M45" s="91"/>
    </row>
    <row r="46" spans="1:27" x14ac:dyDescent="0.2">
      <c r="C46" s="93"/>
      <c r="D46" s="93"/>
      <c r="E46" s="93"/>
      <c r="F46" s="93"/>
      <c r="G46" s="93"/>
      <c r="H46" s="93"/>
      <c r="J46" s="93"/>
      <c r="M46" s="91"/>
      <c r="P46" s="93"/>
      <c r="Q46" s="93"/>
      <c r="R46" s="93"/>
      <c r="S46" s="93"/>
      <c r="T46" s="93"/>
      <c r="U46" s="93"/>
      <c r="V46" s="93"/>
      <c r="W46" s="93"/>
    </row>
    <row r="47" spans="1:27" x14ac:dyDescent="0.2">
      <c r="C47" s="93"/>
      <c r="D47" s="93"/>
      <c r="E47" s="93"/>
      <c r="F47" s="93"/>
      <c r="G47" s="93"/>
      <c r="H47" s="93"/>
      <c r="J47" s="93"/>
      <c r="M47" s="91"/>
      <c r="P47" s="93"/>
      <c r="Q47" s="93"/>
      <c r="R47" s="93"/>
      <c r="S47" s="93"/>
      <c r="T47" s="93"/>
      <c r="U47" s="93"/>
      <c r="V47" s="93"/>
      <c r="W47" s="93"/>
    </row>
    <row r="48" spans="1:27" x14ac:dyDescent="0.2">
      <c r="C48" s="93"/>
      <c r="D48" s="93"/>
      <c r="E48" s="93"/>
      <c r="F48" s="93"/>
      <c r="G48" s="93"/>
      <c r="H48" s="93"/>
      <c r="J48" s="93"/>
      <c r="M48" s="91"/>
      <c r="P48" s="93"/>
      <c r="Q48" s="93"/>
      <c r="R48" s="93"/>
      <c r="S48" s="93"/>
      <c r="T48" s="93"/>
      <c r="U48" s="93"/>
      <c r="V48" s="93"/>
      <c r="W48" s="93"/>
    </row>
    <row r="49" spans="3:23" x14ac:dyDescent="0.2">
      <c r="C49" s="93"/>
      <c r="D49" s="93"/>
      <c r="E49" s="93"/>
      <c r="F49" s="93"/>
      <c r="G49" s="93"/>
      <c r="H49" s="93"/>
      <c r="J49" s="93"/>
      <c r="M49" s="91"/>
      <c r="P49" s="93"/>
      <c r="Q49" s="93"/>
      <c r="R49" s="93"/>
      <c r="S49" s="93"/>
      <c r="T49" s="93"/>
      <c r="U49" s="93"/>
      <c r="V49" s="93"/>
      <c r="W49" s="93"/>
    </row>
    <row r="50" spans="3:23" x14ac:dyDescent="0.2">
      <c r="C50" s="87"/>
      <c r="D50" s="87"/>
      <c r="E50" s="87"/>
      <c r="F50" s="87"/>
      <c r="G50" s="87"/>
      <c r="H50" s="87"/>
      <c r="J50" s="87"/>
      <c r="M50" s="91"/>
      <c r="P50" s="87"/>
      <c r="Q50" s="87"/>
      <c r="R50" s="87"/>
      <c r="S50" s="87"/>
      <c r="T50" s="87"/>
      <c r="U50" s="87"/>
      <c r="V50" s="87"/>
      <c r="W50" s="87"/>
    </row>
    <row r="51" spans="3:23" x14ac:dyDescent="0.2">
      <c r="C51" s="93"/>
      <c r="D51" s="93"/>
      <c r="E51" s="93"/>
      <c r="F51" s="93"/>
      <c r="G51" s="93"/>
      <c r="H51" s="93"/>
      <c r="J51" s="93"/>
      <c r="M51" s="91"/>
      <c r="P51" s="93"/>
      <c r="Q51" s="93"/>
      <c r="R51" s="93"/>
      <c r="S51" s="93"/>
      <c r="T51" s="93"/>
      <c r="U51" s="93"/>
      <c r="V51" s="93"/>
      <c r="W51" s="93"/>
    </row>
    <row r="52" spans="3:23" x14ac:dyDescent="0.2">
      <c r="C52" s="93"/>
      <c r="D52" s="93"/>
      <c r="E52" s="93"/>
      <c r="F52" s="93"/>
      <c r="G52" s="93"/>
      <c r="H52" s="93"/>
      <c r="J52" s="93"/>
      <c r="M52" s="91"/>
      <c r="P52" s="93"/>
      <c r="Q52" s="93"/>
      <c r="R52" s="93"/>
      <c r="S52" s="93"/>
      <c r="T52" s="93"/>
      <c r="U52" s="93"/>
      <c r="V52" s="93"/>
      <c r="W52" s="93"/>
    </row>
    <row r="53" spans="3:23" x14ac:dyDescent="0.2">
      <c r="C53" s="93"/>
      <c r="D53" s="93"/>
      <c r="E53" s="93"/>
      <c r="F53" s="93"/>
      <c r="G53" s="93"/>
      <c r="H53" s="93"/>
      <c r="J53" s="93"/>
      <c r="M53" s="91"/>
      <c r="P53" s="93"/>
      <c r="Q53" s="93"/>
      <c r="R53" s="93"/>
      <c r="S53" s="93"/>
      <c r="T53" s="93"/>
      <c r="U53" s="93"/>
      <c r="V53" s="93"/>
      <c r="W53" s="93"/>
    </row>
    <row r="54" spans="3:23" x14ac:dyDescent="0.2">
      <c r="C54" s="93"/>
      <c r="D54" s="93"/>
      <c r="E54" s="93"/>
      <c r="F54" s="93"/>
      <c r="G54" s="93"/>
      <c r="H54" s="93"/>
      <c r="J54" s="93"/>
      <c r="M54" s="91"/>
      <c r="P54" s="93"/>
      <c r="Q54" s="93"/>
      <c r="R54" s="93"/>
      <c r="S54" s="93"/>
      <c r="T54" s="93"/>
      <c r="U54" s="93"/>
      <c r="V54" s="93"/>
      <c r="W54" s="93"/>
    </row>
    <row r="55" spans="3:23" x14ac:dyDescent="0.2">
      <c r="C55" s="93"/>
      <c r="D55" s="93"/>
      <c r="E55" s="93"/>
      <c r="F55" s="93"/>
      <c r="G55" s="93"/>
      <c r="H55" s="93"/>
      <c r="J55" s="93"/>
      <c r="M55" s="91"/>
      <c r="P55" s="93"/>
      <c r="Q55" s="93"/>
      <c r="R55" s="93"/>
      <c r="S55" s="93"/>
      <c r="T55" s="93"/>
      <c r="U55" s="93"/>
      <c r="V55" s="93"/>
      <c r="W55" s="93"/>
    </row>
  </sheetData>
  <mergeCells count="4">
    <mergeCell ref="K1:M1"/>
    <mergeCell ref="O1:Z1"/>
    <mergeCell ref="K25:M25"/>
    <mergeCell ref="O25:Z25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U35"/>
  <sheetViews>
    <sheetView workbookViewId="0">
      <pane xSplit="1" topLeftCell="B1" activePane="topRight" state="frozen"/>
      <selection pane="topRight"/>
    </sheetView>
  </sheetViews>
  <sheetFormatPr defaultRowHeight="14.25" x14ac:dyDescent="0.2"/>
  <cols>
    <col min="2" max="2" width="17.625" style="140" customWidth="1"/>
    <col min="3" max="3" width="18" customWidth="1"/>
    <col min="4" max="4" width="21.625" style="140" customWidth="1"/>
    <col min="5" max="5" width="19.875" customWidth="1"/>
    <col min="6" max="6" width="16.375" customWidth="1"/>
    <col min="7" max="7" width="14.75" customWidth="1"/>
    <col min="8" max="8" width="21.5" customWidth="1"/>
    <col min="9" max="10" width="21.5" style="140" customWidth="1"/>
    <col min="12" max="12" width="14.875" style="140" customWidth="1"/>
    <col min="13" max="13" width="19.25" customWidth="1"/>
    <col min="14" max="14" width="21.75" customWidth="1"/>
    <col min="15" max="15" width="17.875" customWidth="1"/>
    <col min="16" max="16" width="17" customWidth="1"/>
    <col min="17" max="17" width="18.5" customWidth="1"/>
    <col min="18" max="18" width="20.75" customWidth="1"/>
    <col min="19" max="20" width="20.75" style="140" customWidth="1"/>
  </cols>
  <sheetData>
    <row r="1" spans="1:21" s="140" customFormat="1" ht="42.75" customHeight="1" thickBot="1" x14ac:dyDescent="0.35">
      <c r="A1" s="215" t="s">
        <v>307</v>
      </c>
    </row>
    <row r="2" spans="1:21" s="140" customFormat="1" ht="9.75" customHeight="1" thickTop="1" thickBot="1" x14ac:dyDescent="0.35">
      <c r="A2" s="215"/>
    </row>
    <row r="3" spans="1:21" ht="23.25" thickTop="1" x14ac:dyDescent="0.3">
      <c r="A3" s="319" t="s">
        <v>58</v>
      </c>
      <c r="B3" s="319"/>
      <c r="C3" s="319"/>
      <c r="D3" s="319"/>
      <c r="E3" s="319"/>
      <c r="F3" s="319"/>
      <c r="G3" s="319"/>
      <c r="H3" s="319"/>
      <c r="I3" s="182"/>
      <c r="J3" s="182"/>
      <c r="L3" s="308" t="s">
        <v>59</v>
      </c>
      <c r="M3" s="308"/>
      <c r="N3" s="308"/>
      <c r="O3" s="308"/>
      <c r="P3" s="308"/>
      <c r="Q3" s="308"/>
      <c r="R3" s="308"/>
      <c r="S3" s="181"/>
      <c r="T3" s="181"/>
    </row>
    <row r="4" spans="1:21" ht="71.25" x14ac:dyDescent="0.2">
      <c r="A4" s="140" t="s">
        <v>1</v>
      </c>
      <c r="B4" s="175" t="s">
        <v>277</v>
      </c>
      <c r="C4" s="148" t="s">
        <v>247</v>
      </c>
      <c r="D4" s="96" t="s">
        <v>250</v>
      </c>
      <c r="E4" s="148" t="s">
        <v>216</v>
      </c>
      <c r="F4" s="148" t="s">
        <v>249</v>
      </c>
      <c r="G4" t="s">
        <v>241</v>
      </c>
      <c r="H4" s="96" t="s">
        <v>283</v>
      </c>
      <c r="I4" s="183" t="s">
        <v>339</v>
      </c>
      <c r="J4" s="183" t="s">
        <v>284</v>
      </c>
      <c r="K4" s="4"/>
      <c r="L4" s="175" t="s">
        <v>277</v>
      </c>
      <c r="M4" s="148" t="s">
        <v>247</v>
      </c>
      <c r="N4" s="96" t="s">
        <v>250</v>
      </c>
      <c r="O4" s="148" t="s">
        <v>216</v>
      </c>
      <c r="P4" s="148" t="s">
        <v>249</v>
      </c>
      <c r="Q4" s="148" t="s">
        <v>241</v>
      </c>
      <c r="R4" s="96" t="s">
        <v>252</v>
      </c>
      <c r="S4" s="183" t="s">
        <v>339</v>
      </c>
      <c r="T4" s="183" t="s">
        <v>284</v>
      </c>
      <c r="U4" s="4"/>
    </row>
    <row r="5" spans="1:21" x14ac:dyDescent="0.2">
      <c r="A5" s="140" t="s">
        <v>2</v>
      </c>
      <c r="B5" s="175"/>
      <c r="C5" t="s">
        <v>248</v>
      </c>
      <c r="D5" s="140" t="s">
        <v>251</v>
      </c>
      <c r="E5" s="148" t="s">
        <v>62</v>
      </c>
      <c r="H5" s="140" t="s">
        <v>251</v>
      </c>
      <c r="I5" s="140" t="s">
        <v>92</v>
      </c>
      <c r="J5" s="140" t="s">
        <v>251</v>
      </c>
      <c r="K5" s="4"/>
      <c r="L5" s="175"/>
      <c r="M5" s="140" t="s">
        <v>248</v>
      </c>
      <c r="N5" s="140" t="s">
        <v>251</v>
      </c>
      <c r="O5" s="148" t="s">
        <v>62</v>
      </c>
      <c r="P5" s="140"/>
      <c r="Q5" s="140"/>
      <c r="R5" s="140" t="s">
        <v>251</v>
      </c>
      <c r="S5" s="140" t="s">
        <v>92</v>
      </c>
      <c r="T5" s="140" t="s">
        <v>251</v>
      </c>
      <c r="U5" s="4"/>
    </row>
    <row r="6" spans="1:21" ht="15" thickBot="1" x14ac:dyDescent="0.25">
      <c r="A6" s="103" t="s">
        <v>0</v>
      </c>
      <c r="B6" s="101" t="s">
        <v>225</v>
      </c>
      <c r="C6" s="103"/>
      <c r="D6" s="103"/>
      <c r="E6" s="103"/>
      <c r="F6" s="103"/>
      <c r="G6" s="101" t="s">
        <v>225</v>
      </c>
      <c r="H6" s="103"/>
      <c r="I6" s="103"/>
      <c r="J6" s="103"/>
      <c r="K6" s="4"/>
      <c r="L6" s="101" t="s">
        <v>225</v>
      </c>
      <c r="M6" s="103"/>
      <c r="N6" s="103"/>
      <c r="O6" s="103"/>
      <c r="P6" s="103"/>
      <c r="Q6" s="101" t="s">
        <v>225</v>
      </c>
      <c r="R6" s="103"/>
      <c r="S6" s="103"/>
      <c r="T6" s="103"/>
      <c r="U6" s="4"/>
    </row>
    <row r="7" spans="1:21" ht="15" thickTop="1" x14ac:dyDescent="0.2">
      <c r="A7" s="92">
        <v>2006</v>
      </c>
      <c r="B7" s="148">
        <f>'Poikkeama rak.jäämästä'!E5</f>
        <v>1</v>
      </c>
      <c r="C7" s="95">
        <f>'Pot.tuot ja tuotantokuilu'!D54</f>
        <v>1.774459869103737E-2</v>
      </c>
      <c r="D7" s="95">
        <f>VLOOKUP(C7,$B$27:$C$34,2)</f>
        <v>6.0000000000000001E-3</v>
      </c>
      <c r="E7" s="95">
        <f>'EDP-velka'!B37/100</f>
        <v>0.39632599999999996</v>
      </c>
      <c r="G7" s="148">
        <f>IF(OR(E7&gt;0.6,F7&gt;0.025),1,0)</f>
        <v>0</v>
      </c>
      <c r="H7" s="95">
        <f>IF(C7&lt;=-0.04,"-",IF(B7=1,0,IF(G7=1,0.006,#REF!)))</f>
        <v>0</v>
      </c>
      <c r="I7" s="95">
        <f>'Poikkeama rak.jäämästä'!D5</f>
        <v>1.2485990693750202E-2</v>
      </c>
      <c r="J7" s="95">
        <f t="shared" ref="J7:J14" si="0">IF(B7=1,H7,IF(ABS(I7)&lt;H7,ABS(I7),H7))</f>
        <v>0</v>
      </c>
      <c r="K7" s="4"/>
      <c r="L7" s="148">
        <f>'Poikkeama rak.jäämästä'!R5</f>
        <v>1</v>
      </c>
      <c r="M7" s="95">
        <f>'Pot.tuot ja tuotantokuilu'!J54</f>
        <v>1.8537531461356029E-2</v>
      </c>
      <c r="N7" s="95">
        <f>VLOOKUP(M7,$B$27:$C$34,2)</f>
        <v>6.0000000000000001E-3</v>
      </c>
      <c r="O7" s="95">
        <f>'EDP-velka'!V37/100</f>
        <v>0.39632599999999996</v>
      </c>
      <c r="P7" s="140"/>
      <c r="Q7" s="148">
        <f t="shared" ref="Q7:Q19" si="1">IF(OR(O7&gt;0.6,P7&gt;0.05),1,0)</f>
        <v>0</v>
      </c>
      <c r="R7" s="95">
        <f>IF(M7&lt;=-0.04,"-",IF(L7=1,0,IF(Q7=1,0.006,N7)))</f>
        <v>0</v>
      </c>
      <c r="S7" s="95">
        <f>'Poikkeama rak.jäämästä'!Q5</f>
        <v>1.2065736325481306E-2</v>
      </c>
      <c r="T7" s="95">
        <f t="shared" ref="T7:T19" si="2">IF(L7=1,R7,IF(ABS(S7)&lt;R7,ABS(S7),R7))</f>
        <v>0</v>
      </c>
      <c r="U7" s="4"/>
    </row>
    <row r="8" spans="1:21" x14ac:dyDescent="0.2">
      <c r="A8" s="92">
        <v>2007</v>
      </c>
      <c r="B8" s="148">
        <f>'Poikkeama rak.jäämästä'!E6</f>
        <v>1</v>
      </c>
      <c r="C8" s="95">
        <f>'Pot.tuot ja tuotantokuilu'!D55</f>
        <v>4.8248031209246013E-2</v>
      </c>
      <c r="D8" s="95">
        <f t="shared" ref="D8:D15" si="3">VLOOKUP(C8,$B$27:$C$34,2)</f>
        <v>6.0000000000000001E-3</v>
      </c>
      <c r="E8" s="95">
        <f>'EDP-velka'!B38/100</f>
        <v>0.35158200000000001</v>
      </c>
      <c r="F8" s="140"/>
      <c r="G8" s="148">
        <f t="shared" ref="G8:G14" si="4">IF(OR(E8&gt;0.6,F8&gt;0.025),1,0)</f>
        <v>0</v>
      </c>
      <c r="H8" s="95">
        <f t="shared" ref="H8:H14" si="5">IF(C8&lt;=-0.04,"-",IF(B8=1,0,IF(G8=1,0.006,D8)))</f>
        <v>0</v>
      </c>
      <c r="I8" s="95">
        <f>'Poikkeama rak.jäämästä'!D6</f>
        <v>1.7812294459099619E-2</v>
      </c>
      <c r="J8" s="95">
        <f t="shared" si="0"/>
        <v>0</v>
      </c>
      <c r="K8" s="4"/>
      <c r="L8" s="148">
        <f>'Poikkeama rak.jäämästä'!R6</f>
        <v>1</v>
      </c>
      <c r="M8" s="95">
        <f>'Pot.tuot ja tuotantokuilu'!J55</f>
        <v>4.9148195093863645E-2</v>
      </c>
      <c r="N8" s="95">
        <f t="shared" ref="N8:N19" si="6">VLOOKUP(M8,$B$27:$C$34,2)</f>
        <v>6.0000000000000001E-3</v>
      </c>
      <c r="O8" s="95">
        <f>'EDP-velka'!V38/100</f>
        <v>0.35158200000000001</v>
      </c>
      <c r="P8" s="140"/>
      <c r="Q8" s="148">
        <f t="shared" si="1"/>
        <v>0</v>
      </c>
      <c r="R8" s="95">
        <f t="shared" ref="R8:R19" si="7">IF(M8&lt;=-0.04,"-",IF(L8=1,0,IF(Q8=1,0.006,N8)))</f>
        <v>0</v>
      </c>
      <c r="S8" s="95">
        <f>'Poikkeama rak.jäämästä'!Q6</f>
        <v>1.7335207600252277E-2</v>
      </c>
      <c r="T8" s="95">
        <f t="shared" si="2"/>
        <v>0</v>
      </c>
      <c r="U8" s="4"/>
    </row>
    <row r="9" spans="1:21" x14ac:dyDescent="0.2">
      <c r="A9" s="92">
        <v>2008</v>
      </c>
      <c r="B9" s="148">
        <f>'Poikkeama rak.jäämästä'!E7</f>
        <v>1</v>
      </c>
      <c r="C9" s="95">
        <f>'Pot.tuot ja tuotantokuilu'!D56</f>
        <v>3.5366344799427255E-2</v>
      </c>
      <c r="D9" s="95">
        <f t="shared" si="3"/>
        <v>6.0000000000000001E-3</v>
      </c>
      <c r="E9" s="95">
        <f>'EDP-velka'!B39/100</f>
        <v>0.33939199999999997</v>
      </c>
      <c r="F9" s="140"/>
      <c r="G9" s="148">
        <f t="shared" si="4"/>
        <v>0</v>
      </c>
      <c r="H9" s="95">
        <f t="shared" si="5"/>
        <v>0</v>
      </c>
      <c r="I9" s="95">
        <f>'Poikkeama rak.jäämästä'!D7</f>
        <v>2.0204779256303557E-2</v>
      </c>
      <c r="J9" s="95">
        <f t="shared" si="0"/>
        <v>0</v>
      </c>
      <c r="K9" s="4"/>
      <c r="L9" s="148">
        <f>'Poikkeama rak.jäämästä'!R7</f>
        <v>1</v>
      </c>
      <c r="M9" s="95">
        <f>'Pot.tuot ja tuotantokuilu'!J56</f>
        <v>3.629861485530906E-2</v>
      </c>
      <c r="N9" s="95">
        <f t="shared" si="6"/>
        <v>6.0000000000000001E-3</v>
      </c>
      <c r="O9" s="95">
        <f>'EDP-velka'!V39/100</f>
        <v>0.33939199999999997</v>
      </c>
      <c r="P9" s="140"/>
      <c r="Q9" s="148">
        <f t="shared" si="1"/>
        <v>0</v>
      </c>
      <c r="R9" s="95">
        <f t="shared" si="7"/>
        <v>0</v>
      </c>
      <c r="S9" s="95">
        <f>'Poikkeama rak.jäämästä'!Q7</f>
        <v>1.97106761266862E-2</v>
      </c>
      <c r="T9" s="95">
        <f t="shared" si="2"/>
        <v>0</v>
      </c>
      <c r="U9" s="4"/>
    </row>
    <row r="10" spans="1:21" x14ac:dyDescent="0.2">
      <c r="A10" s="92">
        <v>2009</v>
      </c>
      <c r="B10" s="148">
        <f>'Poikkeama rak.jäämästä'!E8</f>
        <v>1</v>
      </c>
      <c r="C10" s="95">
        <f>'Pot.tuot ja tuotantokuilu'!D57</f>
        <v>-5.5654037037887585E-2</v>
      </c>
      <c r="D10" s="95" t="str">
        <f t="shared" si="3"/>
        <v>-</v>
      </c>
      <c r="E10" s="95">
        <f>'EDP-velka'!B40/100</f>
        <v>0.435224</v>
      </c>
      <c r="F10" s="140"/>
      <c r="G10" s="148">
        <f t="shared" si="4"/>
        <v>0</v>
      </c>
      <c r="H10" s="95" t="str">
        <f t="shared" si="5"/>
        <v>-</v>
      </c>
      <c r="I10" s="95">
        <f>'Poikkeama rak.jäämästä'!D8</f>
        <v>6.8593663008042517E-4</v>
      </c>
      <c r="J10" s="95" t="str">
        <f t="shared" si="0"/>
        <v>-</v>
      </c>
      <c r="K10" s="4"/>
      <c r="L10" s="148">
        <f>'Poikkeama rak.jäämästä'!R8</f>
        <v>1</v>
      </c>
      <c r="M10" s="95">
        <f>'Pot.tuot ja tuotantokuilu'!J57</f>
        <v>-5.5016073173487771E-2</v>
      </c>
      <c r="N10" s="95" t="str">
        <f t="shared" si="6"/>
        <v>-</v>
      </c>
      <c r="O10" s="95">
        <f>'EDP-velka'!V40/100</f>
        <v>0.435224</v>
      </c>
      <c r="P10" s="140"/>
      <c r="Q10" s="148">
        <f t="shared" si="1"/>
        <v>0</v>
      </c>
      <c r="R10" s="95" t="str">
        <f t="shared" si="7"/>
        <v>-</v>
      </c>
      <c r="S10" s="95">
        <f>'Poikkeama rak.jäämästä'!Q8</f>
        <v>-5.0518421805147758E-4</v>
      </c>
      <c r="T10" s="95" t="str">
        <f t="shared" si="2"/>
        <v>-</v>
      </c>
      <c r="U10" s="4"/>
    </row>
    <row r="11" spans="1:21" x14ac:dyDescent="0.2">
      <c r="A11" s="92">
        <v>2010</v>
      </c>
      <c r="B11" s="148">
        <f>'Poikkeama rak.jäämästä'!E9</f>
        <v>0</v>
      </c>
      <c r="C11" s="95">
        <f>'Pot.tuot ja tuotantokuilu'!D58</f>
        <v>-2.6410195227533774E-2</v>
      </c>
      <c r="D11" s="95">
        <f t="shared" si="3"/>
        <v>1E-3</v>
      </c>
      <c r="E11" s="95">
        <f>'EDP-velka'!B41/100</f>
        <v>0.48663899999999999</v>
      </c>
      <c r="F11" s="169">
        <v>0.02</v>
      </c>
      <c r="G11" s="148">
        <f t="shared" si="4"/>
        <v>0</v>
      </c>
      <c r="H11" s="95">
        <f t="shared" si="5"/>
        <v>1E-3</v>
      </c>
      <c r="I11" s="95">
        <f>'Poikkeama rak.jäämästä'!D9</f>
        <v>-1.5106299529407095E-2</v>
      </c>
      <c r="J11" s="95">
        <f t="shared" si="0"/>
        <v>1E-3</v>
      </c>
      <c r="K11" s="4"/>
      <c r="L11" s="148">
        <f>'Poikkeama rak.jäämästä'!R9</f>
        <v>0</v>
      </c>
      <c r="M11" s="95">
        <f>'Pot.tuot ja tuotantokuilu'!J58</f>
        <v>-2.5811101122659205E-2</v>
      </c>
      <c r="N11" s="95">
        <f t="shared" si="6"/>
        <v>1E-3</v>
      </c>
      <c r="O11" s="95">
        <f>'EDP-velka'!V41/100</f>
        <v>0.48663899999999999</v>
      </c>
      <c r="P11" s="169">
        <v>0.02</v>
      </c>
      <c r="Q11" s="148">
        <f t="shared" si="1"/>
        <v>0</v>
      </c>
      <c r="R11" s="95">
        <f t="shared" si="7"/>
        <v>1E-3</v>
      </c>
      <c r="S11" s="95">
        <f>'Poikkeama rak.jäämästä'!Q9</f>
        <v>-1.4143559351908343E-2</v>
      </c>
      <c r="T11" s="95">
        <f t="shared" si="2"/>
        <v>1E-3</v>
      </c>
      <c r="U11" s="4"/>
    </row>
    <row r="12" spans="1:21" x14ac:dyDescent="0.2">
      <c r="A12" s="92">
        <v>2011</v>
      </c>
      <c r="B12" s="148">
        <f>'Poikkeama rak.jäämästä'!E10</f>
        <v>0</v>
      </c>
      <c r="C12" s="95">
        <f>'Pot.tuot ja tuotantokuilu'!D59</f>
        <v>-2.4515575969503382E-3</v>
      </c>
      <c r="D12" s="95">
        <f t="shared" si="3"/>
        <v>5.0000000000000001E-3</v>
      </c>
      <c r="E12" s="95">
        <f>'EDP-velka'!B42/100</f>
        <v>0.49193100000000001</v>
      </c>
      <c r="F12" s="169">
        <v>0.02</v>
      </c>
      <c r="G12" s="148">
        <f t="shared" si="4"/>
        <v>0</v>
      </c>
      <c r="H12" s="95">
        <f t="shared" si="5"/>
        <v>5.0000000000000001E-3</v>
      </c>
      <c r="I12" s="95">
        <f>'Poikkeama rak.jäämästä'!D10</f>
        <v>-1.0106008473616319E-2</v>
      </c>
      <c r="J12" s="95">
        <f t="shared" si="0"/>
        <v>5.0000000000000001E-3</v>
      </c>
      <c r="K12" s="4"/>
      <c r="L12" s="148">
        <f>'Poikkeama rak.jäämästä'!R10</f>
        <v>0</v>
      </c>
      <c r="M12" s="95">
        <f>'Pot.tuot ja tuotantokuilu'!J59</f>
        <v>-1.9852893182334664E-3</v>
      </c>
      <c r="N12" s="95">
        <f t="shared" si="6"/>
        <v>5.0000000000000001E-3</v>
      </c>
      <c r="O12" s="95">
        <f>'EDP-velka'!V42/100</f>
        <v>0.49193100000000001</v>
      </c>
      <c r="P12" s="169">
        <v>0.02</v>
      </c>
      <c r="Q12" s="148">
        <f t="shared" si="1"/>
        <v>0</v>
      </c>
      <c r="R12" s="95">
        <f t="shared" si="7"/>
        <v>5.0000000000000001E-3</v>
      </c>
      <c r="S12" s="95">
        <f>'Poikkeama rak.jäämästä'!Q10</f>
        <v>-1.1132130661336262E-2</v>
      </c>
      <c r="T12" s="95">
        <f t="shared" si="2"/>
        <v>5.0000000000000001E-3</v>
      </c>
      <c r="U12" s="4"/>
    </row>
    <row r="13" spans="1:21" x14ac:dyDescent="0.2">
      <c r="A13" s="92">
        <v>2012</v>
      </c>
      <c r="B13" s="148">
        <f>'Poikkeama rak.jäämästä'!E11</f>
        <v>0</v>
      </c>
      <c r="C13" s="95">
        <f>'Pot.tuot ja tuotantokuilu'!D60</f>
        <v>-1.4811228099513319E-2</v>
      </c>
      <c r="D13" s="95">
        <f t="shared" si="3"/>
        <v>5.0000000000000001E-3</v>
      </c>
      <c r="E13" s="95">
        <f>'EDP-velka'!B43/100</f>
        <v>0.53623600000000005</v>
      </c>
      <c r="F13" s="169">
        <v>0.02</v>
      </c>
      <c r="G13" s="148">
        <f t="shared" si="4"/>
        <v>0</v>
      </c>
      <c r="H13" s="95">
        <f t="shared" si="5"/>
        <v>5.0000000000000001E-3</v>
      </c>
      <c r="I13" s="95">
        <f>'Poikkeama rak.jäämästä'!D11</f>
        <v>-1.4644432107257941E-2</v>
      </c>
      <c r="J13" s="95">
        <f t="shared" si="0"/>
        <v>5.0000000000000001E-3</v>
      </c>
      <c r="K13" s="4"/>
      <c r="L13" s="148">
        <f>'Poikkeama rak.jäämästä'!R11</f>
        <v>0</v>
      </c>
      <c r="M13" s="95">
        <f>'Pot.tuot ja tuotantokuilu'!J60</f>
        <v>-1.4811515604587657E-2</v>
      </c>
      <c r="N13" s="95">
        <f t="shared" si="6"/>
        <v>5.0000000000000001E-3</v>
      </c>
      <c r="O13" s="95">
        <f>'EDP-velka'!V43/100</f>
        <v>0.53623600000000005</v>
      </c>
      <c r="P13" s="169">
        <v>0.02</v>
      </c>
      <c r="Q13" s="148">
        <f t="shared" si="1"/>
        <v>0</v>
      </c>
      <c r="R13" s="95">
        <f t="shared" si="7"/>
        <v>5.0000000000000001E-3</v>
      </c>
      <c r="S13" s="95">
        <f>'Poikkeama rak.jäämästä'!Q11</f>
        <v>-1.5408279729568541E-2</v>
      </c>
      <c r="T13" s="95">
        <f t="shared" si="2"/>
        <v>5.0000000000000001E-3</v>
      </c>
      <c r="U13" s="4"/>
    </row>
    <row r="14" spans="1:21" x14ac:dyDescent="0.2">
      <c r="A14" s="92">
        <v>2013</v>
      </c>
      <c r="B14" s="148">
        <f>'Poikkeama rak.jäämästä'!E12</f>
        <v>1</v>
      </c>
      <c r="C14" s="95">
        <f>'Pot.tuot ja tuotantokuilu'!D61</f>
        <v>-2.8155993247116793E-2</v>
      </c>
      <c r="D14" s="95">
        <f t="shared" si="3"/>
        <v>1E-3</v>
      </c>
      <c r="E14" s="95">
        <f>'EDP-velka'!B44/100</f>
        <v>0.57165599999999994</v>
      </c>
      <c r="F14" s="169">
        <v>0.02</v>
      </c>
      <c r="G14" s="148">
        <f t="shared" si="4"/>
        <v>0</v>
      </c>
      <c r="H14" s="95">
        <f t="shared" si="5"/>
        <v>0</v>
      </c>
      <c r="I14" s="95">
        <f>'Poikkeama rak.jäämästä'!D12</f>
        <v>-1.1998247809325352E-3</v>
      </c>
      <c r="J14" s="95">
        <f t="shared" si="0"/>
        <v>0</v>
      </c>
      <c r="K14" s="4"/>
      <c r="L14" s="148">
        <f>'Poikkeama rak.jäämästä'!R12</f>
        <v>1</v>
      </c>
      <c r="M14" s="95">
        <f>'Pot.tuot ja tuotantokuilu'!J61</f>
        <v>-2.98289435898949E-2</v>
      </c>
      <c r="N14" s="95">
        <f t="shared" si="6"/>
        <v>1E-3</v>
      </c>
      <c r="O14" s="95">
        <f>'EDP-velka'!V44/100</f>
        <v>0.56899999999999995</v>
      </c>
      <c r="P14" s="169">
        <v>0.02</v>
      </c>
      <c r="Q14" s="148">
        <f t="shared" si="1"/>
        <v>0</v>
      </c>
      <c r="R14" s="95">
        <f t="shared" si="7"/>
        <v>0</v>
      </c>
      <c r="S14" s="95">
        <f>'Poikkeama rak.jäämästä'!Q12</f>
        <v>-3.1316109926010378E-4</v>
      </c>
      <c r="T14" s="95">
        <f t="shared" si="2"/>
        <v>0</v>
      </c>
      <c r="U14" s="4"/>
    </row>
    <row r="15" spans="1:21" x14ac:dyDescent="0.2">
      <c r="A15" s="92">
        <v>2014</v>
      </c>
      <c r="B15" s="148">
        <f>'Poikkeama rak.jäämästä'!E13</f>
        <v>0</v>
      </c>
      <c r="C15" s="95">
        <f>'Pot.tuot ja tuotantokuilu'!D62</f>
        <v>-2.603901413563053E-2</v>
      </c>
      <c r="D15" s="95">
        <f t="shared" si="3"/>
        <v>1E-3</v>
      </c>
      <c r="E15" s="95">
        <f>'EDP-velka'!B45/100</f>
        <v>0.60422699999999996</v>
      </c>
      <c r="F15" s="169">
        <v>0.02</v>
      </c>
      <c r="G15" s="148">
        <f>IF(OR(E15&gt;0.6,F15&gt;0.025),1,0)</f>
        <v>1</v>
      </c>
      <c r="H15" s="95">
        <f>IF(C15&lt;=-0.04,"-",IF(B15=1,0,IF(G15=1,0.006,D15)))</f>
        <v>6.0000000000000001E-3</v>
      </c>
      <c r="I15" s="95">
        <f>'Poikkeama rak.jäämästä'!D13</f>
        <v>-3.3575187100202538E-3</v>
      </c>
      <c r="J15" s="95">
        <f>IF(B15=1,H15,IF(ABS(I15)&lt;H15,ABS(I15),H15))</f>
        <v>3.3575187100202538E-3</v>
      </c>
      <c r="K15" s="4"/>
      <c r="L15" s="148">
        <f>'Poikkeama rak.jäämästä'!R13</f>
        <v>0</v>
      </c>
      <c r="M15" s="95">
        <f>'Pot.tuot ja tuotantokuilu'!J62</f>
        <v>-2.7139143236957746E-2</v>
      </c>
      <c r="N15" s="95">
        <f t="shared" si="6"/>
        <v>1E-3</v>
      </c>
      <c r="O15" s="95">
        <f>'EDP-velka'!V45/100</f>
        <v>0.59799999999999998</v>
      </c>
      <c r="P15" s="169">
        <v>0.02</v>
      </c>
      <c r="Q15" s="148">
        <f t="shared" si="1"/>
        <v>0</v>
      </c>
      <c r="R15" s="95">
        <f t="shared" si="7"/>
        <v>1E-3</v>
      </c>
      <c r="S15" s="95">
        <f>'Poikkeama rak.jäämästä'!Q13</f>
        <v>-2.7084536635819233E-3</v>
      </c>
      <c r="T15" s="95">
        <f t="shared" si="2"/>
        <v>1E-3</v>
      </c>
      <c r="U15" s="4"/>
    </row>
    <row r="16" spans="1:21" x14ac:dyDescent="0.2">
      <c r="A16" s="92">
        <v>2015</v>
      </c>
      <c r="B16" s="148"/>
      <c r="C16" s="95"/>
      <c r="D16" s="95"/>
      <c r="E16" s="95"/>
      <c r="F16" s="169"/>
      <c r="G16" s="148"/>
      <c r="H16" s="95"/>
      <c r="I16" s="95"/>
      <c r="J16" s="95"/>
      <c r="K16" s="4"/>
      <c r="L16" s="148">
        <f>'Poikkeama rak.jäämästä'!R14</f>
        <v>1</v>
      </c>
      <c r="M16" s="95">
        <f>'Pot.tuot ja tuotantokuilu'!J63</f>
        <v>-1.9770989461132087E-2</v>
      </c>
      <c r="N16" s="95">
        <f t="shared" si="6"/>
        <v>1E-3</v>
      </c>
      <c r="O16" s="95">
        <f>'EDP-velka'!V46/100</f>
        <v>0.61</v>
      </c>
      <c r="P16" s="169">
        <v>0.02</v>
      </c>
      <c r="Q16" s="148">
        <f t="shared" si="1"/>
        <v>1</v>
      </c>
      <c r="R16" s="95">
        <f t="shared" si="7"/>
        <v>0</v>
      </c>
      <c r="S16" s="95">
        <f>'Poikkeama rak.jäämästä'!Q14</f>
        <v>2.875738252129422E-3</v>
      </c>
      <c r="T16" s="95">
        <f t="shared" si="2"/>
        <v>0</v>
      </c>
      <c r="U16" s="4"/>
    </row>
    <row r="17" spans="1:21" x14ac:dyDescent="0.2">
      <c r="A17" s="92">
        <v>2016</v>
      </c>
      <c r="B17" s="148"/>
      <c r="C17" s="95"/>
      <c r="D17" s="95"/>
      <c r="E17" s="95"/>
      <c r="F17" s="169"/>
      <c r="G17" s="148"/>
      <c r="H17" s="95"/>
      <c r="I17" s="95"/>
      <c r="J17" s="95"/>
      <c r="K17" s="4"/>
      <c r="L17" s="148">
        <f>'Poikkeama rak.jäämästä'!R15</f>
        <v>1</v>
      </c>
      <c r="M17" s="95">
        <f>'Pot.tuot ja tuotantokuilu'!J64</f>
        <v>-8.277774847372325E-3</v>
      </c>
      <c r="N17" s="95">
        <f t="shared" si="6"/>
        <v>5.0000000000000001E-3</v>
      </c>
      <c r="O17" s="95">
        <f>'EDP-velka'!V47/100</f>
        <v>0.61399999999999999</v>
      </c>
      <c r="P17" s="169">
        <v>0.02</v>
      </c>
      <c r="Q17" s="148">
        <f t="shared" si="1"/>
        <v>1</v>
      </c>
      <c r="R17" s="95">
        <f t="shared" si="7"/>
        <v>0</v>
      </c>
      <c r="S17" s="95">
        <f>'Poikkeama rak.jäämästä'!Q15</f>
        <v>3.0428768445872742E-3</v>
      </c>
      <c r="T17" s="95">
        <f t="shared" si="2"/>
        <v>0</v>
      </c>
      <c r="U17" s="4"/>
    </row>
    <row r="18" spans="1:21" x14ac:dyDescent="0.2">
      <c r="A18" s="92">
        <v>2017</v>
      </c>
      <c r="B18" s="148"/>
      <c r="C18" s="95"/>
      <c r="D18" s="95"/>
      <c r="E18" s="95"/>
      <c r="F18" s="169"/>
      <c r="G18" s="148"/>
      <c r="H18" s="95"/>
      <c r="I18" s="95"/>
      <c r="J18" s="95"/>
      <c r="K18" s="4"/>
      <c r="L18" s="148">
        <f>'Poikkeama rak.jäämästä'!R16</f>
        <v>1</v>
      </c>
      <c r="M18" s="95">
        <f>'Pot.tuot ja tuotantokuilu'!J65</f>
        <v>-2.5267242621975034E-3</v>
      </c>
      <c r="N18" s="95">
        <f t="shared" si="6"/>
        <v>5.0000000000000001E-3</v>
      </c>
      <c r="O18" s="95">
        <f>'EDP-velka'!V48/100</f>
        <v>0.61299999999999999</v>
      </c>
      <c r="P18" s="169">
        <v>0.02</v>
      </c>
      <c r="Q18" s="148">
        <f t="shared" si="1"/>
        <v>1</v>
      </c>
      <c r="R18" s="95">
        <f t="shared" si="7"/>
        <v>0</v>
      </c>
      <c r="S18" s="95">
        <f>'Poikkeama rak.jäämästä'!Q16</f>
        <v>5.2890804687963098E-3</v>
      </c>
      <c r="T18" s="95">
        <f t="shared" si="2"/>
        <v>0</v>
      </c>
      <c r="U18" s="4"/>
    </row>
    <row r="19" spans="1:21" ht="15" thickBot="1" x14ac:dyDescent="0.25">
      <c r="A19" s="100">
        <v>2018</v>
      </c>
      <c r="B19" s="101"/>
      <c r="C19" s="102"/>
      <c r="D19" s="102"/>
      <c r="E19" s="102"/>
      <c r="F19" s="173"/>
      <c r="G19" s="101"/>
      <c r="H19" s="102"/>
      <c r="I19" s="102"/>
      <c r="J19" s="102"/>
      <c r="K19" s="28"/>
      <c r="L19" s="101">
        <f>'Poikkeama rak.jäämästä'!R17</f>
        <v>1</v>
      </c>
      <c r="M19" s="102">
        <f>'Pot.tuot ja tuotantokuilu'!J66</f>
        <v>-4.2760921518631578E-4</v>
      </c>
      <c r="N19" s="102">
        <f t="shared" si="6"/>
        <v>5.0000000000000001E-3</v>
      </c>
      <c r="O19" s="102">
        <f>'EDP-velka'!V49/100</f>
        <v>0.61199999999999999</v>
      </c>
      <c r="P19" s="173">
        <v>0.02</v>
      </c>
      <c r="Q19" s="101">
        <f t="shared" si="1"/>
        <v>1</v>
      </c>
      <c r="R19" s="102">
        <f t="shared" si="7"/>
        <v>0</v>
      </c>
      <c r="S19" s="102">
        <f>'Poikkeama rak.jäämästä'!Q17</f>
        <v>7.1195997201636335E-3</v>
      </c>
      <c r="T19" s="102">
        <f t="shared" si="2"/>
        <v>0</v>
      </c>
      <c r="U19" s="28"/>
    </row>
    <row r="20" spans="1:21" ht="15" thickTop="1" x14ac:dyDescent="0.2"/>
    <row r="22" spans="1:21" x14ac:dyDescent="0.2">
      <c r="N22" s="95"/>
      <c r="O22" s="178"/>
    </row>
    <row r="23" spans="1:21" x14ac:dyDescent="0.2">
      <c r="A23" s="297" t="s">
        <v>418</v>
      </c>
      <c r="B23" s="297"/>
      <c r="C23" s="297"/>
      <c r="D23" s="297"/>
      <c r="N23" s="95"/>
      <c r="O23" s="178"/>
    </row>
    <row r="24" spans="1:21" x14ac:dyDescent="0.2">
      <c r="N24" s="95"/>
      <c r="O24" s="178"/>
    </row>
    <row r="25" spans="1:21" ht="29.25" thickBot="1" x14ac:dyDescent="0.25">
      <c r="B25" s="298" t="s">
        <v>420</v>
      </c>
      <c r="C25" s="102" t="s">
        <v>419</v>
      </c>
      <c r="N25" s="95"/>
      <c r="O25" s="178"/>
    </row>
    <row r="26" spans="1:21" ht="15" thickTop="1" x14ac:dyDescent="0.2">
      <c r="B26" s="95"/>
      <c r="C26" s="95"/>
      <c r="N26" s="95"/>
      <c r="O26" s="178"/>
    </row>
    <row r="27" spans="1:21" x14ac:dyDescent="0.2">
      <c r="B27" s="95">
        <v>-0.2</v>
      </c>
      <c r="C27" s="95" t="s">
        <v>246</v>
      </c>
      <c r="E27" s="140"/>
      <c r="F27" s="140"/>
      <c r="N27" s="95"/>
      <c r="O27" s="178"/>
    </row>
    <row r="28" spans="1:21" x14ac:dyDescent="0.2">
      <c r="B28" s="95">
        <v>-0.04</v>
      </c>
      <c r="C28" s="95" t="s">
        <v>246</v>
      </c>
      <c r="E28" s="140"/>
      <c r="F28" s="140"/>
      <c r="N28" s="95"/>
      <c r="O28" s="178"/>
    </row>
    <row r="29" spans="1:21" x14ac:dyDescent="0.2">
      <c r="B29" s="95">
        <v>-0.04</v>
      </c>
      <c r="C29" s="95">
        <v>1E-3</v>
      </c>
      <c r="E29" s="140"/>
      <c r="F29" s="140"/>
      <c r="N29" s="95"/>
      <c r="O29" s="178"/>
    </row>
    <row r="30" spans="1:21" x14ac:dyDescent="0.2">
      <c r="B30" s="95">
        <v>-1.4999999999999999E-2</v>
      </c>
      <c r="C30" s="95">
        <v>1E-3</v>
      </c>
      <c r="E30" s="140"/>
      <c r="F30" s="140"/>
      <c r="N30" s="95"/>
      <c r="O30" s="178"/>
    </row>
    <row r="31" spans="1:21" x14ac:dyDescent="0.2">
      <c r="B31" s="95">
        <v>-1.4999999999999999E-2</v>
      </c>
      <c r="C31" s="95">
        <v>5.0000000000000001E-3</v>
      </c>
      <c r="E31" s="140"/>
      <c r="F31" s="140"/>
      <c r="N31" s="95"/>
      <c r="O31" s="178"/>
    </row>
    <row r="32" spans="1:21" x14ac:dyDescent="0.2">
      <c r="B32" s="95">
        <v>1.4999999999999999E-2</v>
      </c>
      <c r="C32" s="95">
        <v>5.0000000000000001E-3</v>
      </c>
      <c r="E32" s="140"/>
      <c r="F32" s="140"/>
      <c r="N32" s="95"/>
      <c r="O32" s="178"/>
    </row>
    <row r="33" spans="2:15" x14ac:dyDescent="0.2">
      <c r="B33" s="95">
        <v>1.4999999999999999E-2</v>
      </c>
      <c r="C33" s="95">
        <v>6.0000000000000001E-3</v>
      </c>
      <c r="E33" s="140"/>
      <c r="F33" s="140"/>
      <c r="N33" s="95"/>
      <c r="O33" s="178"/>
    </row>
    <row r="34" spans="2:15" ht="15" thickBot="1" x14ac:dyDescent="0.25">
      <c r="B34" s="102">
        <v>0.2</v>
      </c>
      <c r="C34" s="102">
        <v>6.0000000000000001E-3</v>
      </c>
      <c r="E34" s="140"/>
      <c r="F34" s="140"/>
      <c r="N34" s="95"/>
      <c r="O34" s="178"/>
    </row>
    <row r="35" spans="2:15" ht="15" thickTop="1" x14ac:dyDescent="0.2">
      <c r="N35" s="95"/>
    </row>
  </sheetData>
  <mergeCells count="2">
    <mergeCell ref="A3:H3"/>
    <mergeCell ref="L3:R3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AJ113"/>
  <sheetViews>
    <sheetView workbookViewId="0">
      <pane xSplit="1" topLeftCell="O1" activePane="topRight" state="frozen"/>
      <selection pane="topRight"/>
    </sheetView>
  </sheetViews>
  <sheetFormatPr defaultRowHeight="14.25" x14ac:dyDescent="0.2"/>
  <cols>
    <col min="1" max="1" width="10" style="50" customWidth="1"/>
    <col min="2" max="2" width="16.875" style="94" customWidth="1"/>
    <col min="3" max="3" width="12.875" style="82" customWidth="1"/>
    <col min="4" max="4" width="15.875" style="50" customWidth="1"/>
    <col min="5" max="5" width="17.25" style="50" customWidth="1"/>
    <col min="6" max="6" width="15.625" style="50" customWidth="1"/>
    <col min="7" max="7" width="15.875" style="50" customWidth="1"/>
    <col min="8" max="8" width="17.25" style="94" customWidth="1"/>
    <col min="9" max="9" width="10.25" customWidth="1"/>
    <col min="10" max="10" width="0" style="3" hidden="1" customWidth="1"/>
    <col min="11" max="11" width="17" style="91" customWidth="1"/>
    <col min="12" max="12" width="12" style="94" customWidth="1"/>
    <col min="13" max="13" width="15.625" customWidth="1"/>
    <col min="14" max="14" width="18" customWidth="1"/>
    <col min="15" max="15" width="14.625" customWidth="1"/>
    <col min="16" max="16" width="15.5" customWidth="1"/>
    <col min="17" max="17" width="15.5" style="91" customWidth="1"/>
    <col min="18" max="18" width="9.5" customWidth="1"/>
    <col min="19" max="19" width="17" style="91" customWidth="1"/>
    <col min="20" max="20" width="16.75" customWidth="1"/>
    <col min="21" max="21" width="16" customWidth="1"/>
    <col min="22" max="22" width="15.625" customWidth="1"/>
    <col min="25" max="25" width="19.875" customWidth="1"/>
    <col min="26" max="26" width="13.375" style="140" customWidth="1"/>
    <col min="27" max="27" width="16" style="140" customWidth="1"/>
    <col min="28" max="28" width="15.25" customWidth="1"/>
    <col min="29" max="29" width="18" customWidth="1"/>
    <col min="30" max="30" width="16" customWidth="1"/>
  </cols>
  <sheetData>
    <row r="1" spans="1:31" s="3" customFormat="1" ht="22.5" customHeight="1" x14ac:dyDescent="0.3">
      <c r="A1" s="50"/>
      <c r="B1" s="94"/>
      <c r="C1" s="82"/>
      <c r="D1" s="317" t="s">
        <v>58</v>
      </c>
      <c r="E1" s="317"/>
      <c r="F1" s="317"/>
      <c r="G1" s="317"/>
      <c r="H1" s="89"/>
      <c r="K1" s="91"/>
      <c r="L1" s="94"/>
      <c r="M1" s="308" t="s">
        <v>59</v>
      </c>
      <c r="N1" s="308"/>
      <c r="O1" s="308"/>
      <c r="P1" s="308"/>
      <c r="Q1" s="85"/>
      <c r="S1" s="308" t="s">
        <v>64</v>
      </c>
      <c r="T1" s="308"/>
      <c r="U1" s="308"/>
      <c r="V1" s="308"/>
      <c r="X1" s="308" t="s">
        <v>164</v>
      </c>
      <c r="Y1" s="308"/>
      <c r="Z1" s="308"/>
      <c r="AA1" s="308"/>
      <c r="AB1" s="308"/>
      <c r="AC1" s="308"/>
      <c r="AD1" s="308"/>
      <c r="AE1" s="4"/>
    </row>
    <row r="2" spans="1:31" ht="51" customHeight="1" x14ac:dyDescent="0.2">
      <c r="A2" s="3" t="s">
        <v>1</v>
      </c>
      <c r="B2" s="94" t="s">
        <v>156</v>
      </c>
      <c r="C2" s="82" t="s">
        <v>61</v>
      </c>
      <c r="D2" s="16" t="s">
        <v>53</v>
      </c>
      <c r="E2" s="16" t="s">
        <v>151</v>
      </c>
      <c r="F2" s="59" t="s">
        <v>152</v>
      </c>
      <c r="G2" s="16" t="s">
        <v>93</v>
      </c>
      <c r="H2" s="96" t="s">
        <v>93</v>
      </c>
      <c r="I2" s="4"/>
      <c r="J2" s="3" t="s">
        <v>1</v>
      </c>
      <c r="K2" s="94" t="s">
        <v>156</v>
      </c>
      <c r="L2" s="94" t="s">
        <v>61</v>
      </c>
      <c r="M2" s="16" t="s">
        <v>53</v>
      </c>
      <c r="N2" s="96" t="s">
        <v>151</v>
      </c>
      <c r="O2" s="107" t="s">
        <v>152</v>
      </c>
      <c r="P2" s="16" t="s">
        <v>93</v>
      </c>
      <c r="Q2" s="96" t="s">
        <v>93</v>
      </c>
      <c r="R2" s="4"/>
      <c r="S2" s="94" t="s">
        <v>156</v>
      </c>
      <c r="T2" s="96" t="s">
        <v>151</v>
      </c>
      <c r="U2" s="107" t="s">
        <v>152</v>
      </c>
      <c r="V2" s="16" t="s">
        <v>93</v>
      </c>
      <c r="W2" s="4"/>
      <c r="X2" s="91" t="s">
        <v>1</v>
      </c>
      <c r="Y2" s="94" t="s">
        <v>156</v>
      </c>
      <c r="Z2" s="94" t="s">
        <v>61</v>
      </c>
      <c r="AA2" s="96" t="s">
        <v>53</v>
      </c>
      <c r="AB2" s="96" t="s">
        <v>151</v>
      </c>
      <c r="AC2" s="107" t="s">
        <v>152</v>
      </c>
      <c r="AD2" s="96" t="s">
        <v>93</v>
      </c>
      <c r="AE2" s="4"/>
    </row>
    <row r="3" spans="1:31" ht="18" customHeight="1" x14ac:dyDescent="0.2">
      <c r="A3" s="3" t="s">
        <v>2</v>
      </c>
      <c r="B3" s="106" t="s">
        <v>62</v>
      </c>
      <c r="D3" s="50" t="s">
        <v>94</v>
      </c>
      <c r="E3" s="94" t="s">
        <v>94</v>
      </c>
      <c r="F3" s="60"/>
      <c r="G3" s="50" t="s">
        <v>94</v>
      </c>
      <c r="H3" s="94" t="s">
        <v>94</v>
      </c>
      <c r="I3" s="4"/>
      <c r="J3" s="3" t="s">
        <v>2</v>
      </c>
      <c r="K3" s="106" t="s">
        <v>62</v>
      </c>
      <c r="M3" s="82" t="s">
        <v>94</v>
      </c>
      <c r="N3" s="94" t="s">
        <v>94</v>
      </c>
      <c r="O3" s="60"/>
      <c r="P3" s="50" t="s">
        <v>94</v>
      </c>
      <c r="Q3" s="94" t="s">
        <v>94</v>
      </c>
      <c r="R3" s="4"/>
      <c r="S3" s="106" t="s">
        <v>62</v>
      </c>
      <c r="T3" s="94" t="s">
        <v>94</v>
      </c>
      <c r="U3" s="60"/>
      <c r="V3" s="50" t="s">
        <v>94</v>
      </c>
      <c r="W3" s="4"/>
      <c r="X3" s="91" t="s">
        <v>2</v>
      </c>
      <c r="Y3" s="106" t="s">
        <v>62</v>
      </c>
      <c r="Z3" s="94"/>
      <c r="AA3" s="94" t="s">
        <v>94</v>
      </c>
      <c r="AB3" s="94" t="s">
        <v>94</v>
      </c>
      <c r="AC3" s="60"/>
      <c r="AD3" s="94" t="s">
        <v>94</v>
      </c>
      <c r="AE3" s="4"/>
    </row>
    <row r="4" spans="1:31" x14ac:dyDescent="0.2">
      <c r="A4" s="3"/>
      <c r="B4" s="140" t="s">
        <v>274</v>
      </c>
      <c r="H4" s="94" t="s">
        <v>159</v>
      </c>
      <c r="I4" s="4"/>
      <c r="K4" s="91" t="s">
        <v>274</v>
      </c>
      <c r="L4" s="24"/>
      <c r="M4" s="82"/>
      <c r="N4" s="82"/>
      <c r="O4" s="50"/>
      <c r="P4" s="50"/>
      <c r="Q4" s="94" t="s">
        <v>162</v>
      </c>
      <c r="R4" s="4"/>
      <c r="W4" s="4"/>
      <c r="X4" s="91"/>
      <c r="Y4" s="91"/>
      <c r="AB4" s="91"/>
      <c r="AC4" s="91"/>
      <c r="AD4" s="91"/>
      <c r="AE4" s="4"/>
    </row>
    <row r="5" spans="1:31" ht="15" thickBot="1" x14ac:dyDescent="0.25">
      <c r="A5" s="32" t="s">
        <v>0</v>
      </c>
      <c r="B5" s="103" t="s">
        <v>273</v>
      </c>
      <c r="C5" s="29"/>
      <c r="D5" s="29"/>
      <c r="E5" s="29"/>
      <c r="F5" s="29"/>
      <c r="G5" s="29"/>
      <c r="H5" s="101"/>
      <c r="I5" s="28"/>
      <c r="J5" s="32" t="s">
        <v>0</v>
      </c>
      <c r="K5" s="103" t="s">
        <v>273</v>
      </c>
      <c r="L5" s="101"/>
      <c r="M5" s="29"/>
      <c r="N5" s="29"/>
      <c r="O5" s="29"/>
      <c r="P5" s="29"/>
      <c r="Q5" s="101"/>
      <c r="R5" s="28"/>
      <c r="S5" s="103"/>
      <c r="T5" s="32"/>
      <c r="U5" s="32"/>
      <c r="V5" s="32"/>
      <c r="W5" s="28"/>
      <c r="X5" s="103" t="s">
        <v>0</v>
      </c>
      <c r="Y5" s="103"/>
      <c r="Z5" s="103"/>
      <c r="AA5" s="103"/>
      <c r="AB5" s="103"/>
      <c r="AC5" s="103"/>
      <c r="AD5" s="103"/>
      <c r="AE5" s="4"/>
    </row>
    <row r="6" spans="1:31" ht="15" thickTop="1" x14ac:dyDescent="0.2">
      <c r="A6" s="1">
        <v>1960</v>
      </c>
      <c r="B6" s="92"/>
      <c r="I6" s="4"/>
      <c r="J6" s="1">
        <v>1960</v>
      </c>
      <c r="K6" s="92"/>
      <c r="M6" s="3"/>
      <c r="N6" s="3"/>
      <c r="R6" s="4"/>
      <c r="S6" s="92"/>
      <c r="W6" s="4"/>
      <c r="X6" s="92">
        <v>1960</v>
      </c>
      <c r="AE6" s="4"/>
    </row>
    <row r="7" spans="1:31" x14ac:dyDescent="0.2">
      <c r="A7" s="1">
        <v>1961</v>
      </c>
      <c r="B7" s="92"/>
      <c r="I7" s="4"/>
      <c r="J7" s="1">
        <v>1961</v>
      </c>
      <c r="K7" s="92"/>
      <c r="M7" s="82"/>
      <c r="N7" s="82"/>
      <c r="O7" s="50"/>
      <c r="P7" s="50"/>
      <c r="Q7" s="94"/>
      <c r="R7" s="4"/>
      <c r="S7" s="92"/>
      <c r="W7" s="4"/>
      <c r="X7" s="92">
        <v>1961</v>
      </c>
      <c r="AE7" s="4"/>
    </row>
    <row r="8" spans="1:31" x14ac:dyDescent="0.2">
      <c r="A8" s="1">
        <v>1962</v>
      </c>
      <c r="B8" s="92"/>
      <c r="I8" s="4"/>
      <c r="J8" s="1">
        <v>1962</v>
      </c>
      <c r="K8" s="92"/>
      <c r="M8" s="82"/>
      <c r="N8" s="82"/>
      <c r="O8" s="50"/>
      <c r="P8" s="50"/>
      <c r="Q8" s="94"/>
      <c r="R8" s="4"/>
      <c r="S8" s="92"/>
      <c r="W8" s="4"/>
      <c r="X8" s="92">
        <v>1962</v>
      </c>
      <c r="AE8" s="4"/>
    </row>
    <row r="9" spans="1:31" x14ac:dyDescent="0.2">
      <c r="A9" s="1">
        <v>1963</v>
      </c>
      <c r="B9" s="92"/>
      <c r="I9" s="4"/>
      <c r="J9" s="1">
        <v>1963</v>
      </c>
      <c r="K9" s="92"/>
      <c r="M9" s="82"/>
      <c r="N9" s="82"/>
      <c r="O9" s="50"/>
      <c r="P9" s="50"/>
      <c r="Q9" s="94"/>
      <c r="R9" s="4"/>
      <c r="S9" s="92"/>
      <c r="W9" s="4"/>
      <c r="X9" s="92">
        <v>1963</v>
      </c>
      <c r="AE9" s="4"/>
    </row>
    <row r="10" spans="1:31" x14ac:dyDescent="0.2">
      <c r="A10" s="1">
        <v>1964</v>
      </c>
      <c r="B10" s="92"/>
      <c r="I10" s="4"/>
      <c r="J10" s="1">
        <v>1964</v>
      </c>
      <c r="K10" s="92"/>
      <c r="M10" s="82"/>
      <c r="N10" s="82"/>
      <c r="O10" s="50"/>
      <c r="P10" s="50"/>
      <c r="Q10" s="94"/>
      <c r="R10" s="4"/>
      <c r="S10" s="92"/>
      <c r="W10" s="4"/>
      <c r="X10" s="92">
        <v>1964</v>
      </c>
      <c r="AE10" s="4"/>
    </row>
    <row r="11" spans="1:31" x14ac:dyDescent="0.2">
      <c r="A11" s="1">
        <v>1965</v>
      </c>
      <c r="B11" s="92"/>
      <c r="I11" s="4"/>
      <c r="J11" s="1">
        <v>1965</v>
      </c>
      <c r="K11" s="92"/>
      <c r="M11" s="50"/>
      <c r="N11" s="50"/>
      <c r="O11" s="50"/>
      <c r="P11" s="50"/>
      <c r="Q11" s="94"/>
      <c r="R11" s="4"/>
      <c r="S11" s="92"/>
      <c r="W11" s="4"/>
      <c r="X11" s="92">
        <v>1965</v>
      </c>
      <c r="AE11" s="4"/>
    </row>
    <row r="12" spans="1:31" x14ac:dyDescent="0.2">
      <c r="A12" s="1">
        <v>1966</v>
      </c>
      <c r="B12" s="92"/>
      <c r="I12" s="4"/>
      <c r="J12" s="1">
        <v>1966</v>
      </c>
      <c r="K12" s="92"/>
      <c r="M12" s="50"/>
      <c r="N12" s="50"/>
      <c r="O12" s="50"/>
      <c r="P12" s="50"/>
      <c r="Q12" s="94"/>
      <c r="R12" s="4"/>
      <c r="S12" s="92"/>
      <c r="W12" s="4"/>
      <c r="X12" s="92">
        <v>1966</v>
      </c>
      <c r="AE12" s="4"/>
    </row>
    <row r="13" spans="1:31" x14ac:dyDescent="0.2">
      <c r="A13" s="1">
        <v>1967</v>
      </c>
      <c r="B13" s="92"/>
      <c r="I13" s="4"/>
      <c r="J13" s="1">
        <v>1967</v>
      </c>
      <c r="K13" s="92"/>
      <c r="M13" s="50"/>
      <c r="N13" s="50"/>
      <c r="O13" s="50"/>
      <c r="P13" s="50"/>
      <c r="Q13" s="94"/>
      <c r="R13" s="4"/>
      <c r="S13" s="92"/>
      <c r="W13" s="4"/>
      <c r="X13" s="92">
        <v>1967</v>
      </c>
      <c r="AE13" s="4"/>
    </row>
    <row r="14" spans="1:31" x14ac:dyDescent="0.2">
      <c r="A14" s="1">
        <v>1968</v>
      </c>
      <c r="B14" s="92"/>
      <c r="I14" s="4"/>
      <c r="J14" s="1">
        <v>1968</v>
      </c>
      <c r="K14" s="92"/>
      <c r="M14" s="50"/>
      <c r="N14" s="50"/>
      <c r="O14" s="50"/>
      <c r="P14" s="50"/>
      <c r="Q14" s="94"/>
      <c r="R14" s="4"/>
      <c r="S14" s="92"/>
      <c r="W14" s="4"/>
      <c r="X14" s="92">
        <v>1968</v>
      </c>
      <c r="AE14" s="4"/>
    </row>
    <row r="15" spans="1:31" x14ac:dyDescent="0.2">
      <c r="A15" s="1">
        <v>1969</v>
      </c>
      <c r="B15" s="92"/>
      <c r="I15" s="4"/>
      <c r="J15" s="1">
        <v>1969</v>
      </c>
      <c r="K15" s="92"/>
      <c r="M15" s="50"/>
      <c r="N15" s="50"/>
      <c r="O15" s="50"/>
      <c r="P15" s="50"/>
      <c r="Q15" s="94"/>
      <c r="R15" s="4"/>
      <c r="S15" s="92"/>
      <c r="W15" s="4"/>
      <c r="X15" s="92">
        <v>1969</v>
      </c>
      <c r="AE15" s="4"/>
    </row>
    <row r="16" spans="1:31" x14ac:dyDescent="0.2">
      <c r="A16" s="1">
        <v>1970</v>
      </c>
      <c r="B16" s="92"/>
      <c r="I16" s="4"/>
      <c r="J16" s="1">
        <v>1970</v>
      </c>
      <c r="K16" s="92"/>
      <c r="M16" s="50"/>
      <c r="N16" s="50"/>
      <c r="O16" s="50"/>
      <c r="P16" s="50"/>
      <c r="Q16" s="94"/>
      <c r="R16" s="4"/>
      <c r="S16" s="92"/>
      <c r="W16" s="4"/>
      <c r="X16" s="92">
        <v>1970</v>
      </c>
      <c r="AE16" s="4"/>
    </row>
    <row r="17" spans="1:36" x14ac:dyDescent="0.2">
      <c r="A17" s="1">
        <v>1971</v>
      </c>
      <c r="B17" s="92"/>
      <c r="I17" s="4"/>
      <c r="J17" s="1">
        <v>1971</v>
      </c>
      <c r="K17" s="92"/>
      <c r="M17" s="50"/>
      <c r="N17" s="50"/>
      <c r="O17" s="50"/>
      <c r="P17" s="50"/>
      <c r="Q17" s="94"/>
      <c r="R17" s="4"/>
      <c r="S17" s="92"/>
      <c r="W17" s="4"/>
      <c r="X17" s="92">
        <v>1971</v>
      </c>
      <c r="AE17" s="4"/>
    </row>
    <row r="18" spans="1:36" x14ac:dyDescent="0.2">
      <c r="A18" s="1">
        <v>1972</v>
      </c>
      <c r="B18" s="92"/>
      <c r="I18" s="4"/>
      <c r="J18" s="1">
        <v>1972</v>
      </c>
      <c r="K18" s="92"/>
      <c r="M18" s="50"/>
      <c r="N18" s="50"/>
      <c r="O18" s="50"/>
      <c r="P18" s="50"/>
      <c r="Q18" s="94"/>
      <c r="R18" s="4"/>
      <c r="S18" s="92"/>
      <c r="W18" s="4"/>
      <c r="X18" s="92">
        <v>1972</v>
      </c>
      <c r="AE18" s="4"/>
    </row>
    <row r="19" spans="1:36" x14ac:dyDescent="0.2">
      <c r="A19" s="1">
        <v>1973</v>
      </c>
      <c r="B19" s="92"/>
      <c r="I19" s="4"/>
      <c r="J19" s="1">
        <v>1973</v>
      </c>
      <c r="K19" s="92"/>
      <c r="M19" s="50"/>
      <c r="N19" s="50"/>
      <c r="O19" s="50"/>
      <c r="P19" s="50"/>
      <c r="Q19" s="94"/>
      <c r="R19" s="4"/>
      <c r="S19" s="92"/>
      <c r="W19" s="4"/>
      <c r="X19" s="92">
        <v>1973</v>
      </c>
      <c r="AE19" s="4"/>
    </row>
    <row r="20" spans="1:36" x14ac:dyDescent="0.2">
      <c r="A20" s="1">
        <v>1974</v>
      </c>
      <c r="B20" s="92"/>
      <c r="I20" s="4"/>
      <c r="J20" s="1">
        <v>1974</v>
      </c>
      <c r="K20" s="92"/>
      <c r="M20" s="50"/>
      <c r="N20" s="50"/>
      <c r="O20" s="50"/>
      <c r="P20" s="50"/>
      <c r="Q20" s="94"/>
      <c r="R20" s="4"/>
      <c r="S20" s="92"/>
      <c r="W20" s="4"/>
      <c r="X20" s="92">
        <v>1974</v>
      </c>
      <c r="AE20" s="4"/>
    </row>
    <row r="21" spans="1:36" x14ac:dyDescent="0.2">
      <c r="A21" s="1">
        <v>1975</v>
      </c>
      <c r="B21" s="95">
        <v>5.0172049999999996E-2</v>
      </c>
      <c r="C21" s="82">
        <v>0.53</v>
      </c>
      <c r="D21" s="12">
        <f>'Pot.tuot ja tuotantokuilu'!D23</f>
        <v>1.0371060063237892E-2</v>
      </c>
      <c r="E21" s="12">
        <f>D21*C21</f>
        <v>5.4966618335160833E-3</v>
      </c>
      <c r="F21" s="95">
        <v>0</v>
      </c>
      <c r="G21" s="12">
        <f>B21-E21-F21</f>
        <v>4.4675388166483913E-2</v>
      </c>
      <c r="H21" s="95"/>
      <c r="I21" s="4"/>
      <c r="J21" s="1">
        <v>1975</v>
      </c>
      <c r="K21" s="95">
        <v>5.0172049999999996E-2</v>
      </c>
      <c r="L21" s="94">
        <v>0.53</v>
      </c>
      <c r="M21" s="12">
        <f>'Pot.tuot ja tuotantokuilu'!J23</f>
        <v>1.0617813197168716E-2</v>
      </c>
      <c r="N21" s="12">
        <f>L21*M21</f>
        <v>5.6274409944994195E-3</v>
      </c>
      <c r="O21" s="95">
        <v>0</v>
      </c>
      <c r="P21" s="12">
        <f>K21-N21-O21</f>
        <v>4.4544609005500578E-2</v>
      </c>
      <c r="Q21" s="95"/>
      <c r="R21" s="4"/>
      <c r="S21" s="105">
        <f t="shared" ref="S21:S61" si="0">B21-K21</f>
        <v>0</v>
      </c>
      <c r="T21" s="52">
        <f t="shared" ref="T21:T61" si="1">E21-N21</f>
        <v>-1.3077916098333617E-4</v>
      </c>
      <c r="U21" s="52">
        <f t="shared" ref="U21:U61" si="2">F21-O21</f>
        <v>0</v>
      </c>
      <c r="V21" s="52">
        <f t="shared" ref="V21:V61" si="3">G21-P21</f>
        <v>1.3077916098333531E-4</v>
      </c>
      <c r="W21" s="4"/>
      <c r="X21" s="92">
        <v>1975</v>
      </c>
      <c r="AE21" s="4"/>
    </row>
    <row r="22" spans="1:36" x14ac:dyDescent="0.2">
      <c r="A22" s="1">
        <v>1976</v>
      </c>
      <c r="B22" s="95">
        <v>7.7299173999999998E-2</v>
      </c>
      <c r="C22" s="82">
        <v>0.53</v>
      </c>
      <c r="D22" s="12">
        <f>'Pot.tuot ja tuotantokuilu'!D24</f>
        <v>-2.2489179729018878E-2</v>
      </c>
      <c r="E22" s="95">
        <f t="shared" ref="E22:E60" si="4">D22*C22</f>
        <v>-1.1919265256380006E-2</v>
      </c>
      <c r="F22" s="95">
        <v>0</v>
      </c>
      <c r="G22" s="95">
        <f t="shared" ref="G22:G60" si="5">B22-E22-F22</f>
        <v>8.9218439256380011E-2</v>
      </c>
      <c r="H22" s="95"/>
      <c r="I22" s="4"/>
      <c r="J22" s="1">
        <v>1976</v>
      </c>
      <c r="K22" s="95">
        <v>7.7299173999999998E-2</v>
      </c>
      <c r="L22" s="94">
        <v>0.53</v>
      </c>
      <c r="M22" s="12">
        <f>'Pot.tuot ja tuotantokuilu'!J24</f>
        <v>-2.2360406522282616E-2</v>
      </c>
      <c r="N22" s="95">
        <f t="shared" ref="N22:N63" si="6">L22*M22</f>
        <v>-1.1851015456809787E-2</v>
      </c>
      <c r="O22" s="95">
        <v>0</v>
      </c>
      <c r="P22" s="95">
        <f t="shared" ref="P22:P63" si="7">K22-N22-O22</f>
        <v>8.9150189456809789E-2</v>
      </c>
      <c r="Q22" s="95"/>
      <c r="R22" s="4"/>
      <c r="S22" s="105">
        <f t="shared" si="0"/>
        <v>0</v>
      </c>
      <c r="T22" s="52">
        <f t="shared" si="1"/>
        <v>-6.8249799570218456E-5</v>
      </c>
      <c r="U22" s="52">
        <f t="shared" si="2"/>
        <v>0</v>
      </c>
      <c r="V22" s="52">
        <f t="shared" si="3"/>
        <v>6.8249799570221925E-5</v>
      </c>
      <c r="W22" s="4"/>
      <c r="X22" s="92">
        <v>1976</v>
      </c>
      <c r="AE22" s="4"/>
    </row>
    <row r="23" spans="1:36" x14ac:dyDescent="0.2">
      <c r="A23" s="1">
        <v>1977</v>
      </c>
      <c r="B23" s="95">
        <v>6.3477911999999997E-2</v>
      </c>
      <c r="C23" s="82">
        <v>0.53</v>
      </c>
      <c r="D23" s="12">
        <f>'Pot.tuot ja tuotantokuilu'!D25</f>
        <v>-5.1755635447777552E-2</v>
      </c>
      <c r="E23" s="95">
        <f t="shared" si="4"/>
        <v>-2.7430486787322104E-2</v>
      </c>
      <c r="F23" s="95">
        <v>0</v>
      </c>
      <c r="G23" s="95">
        <f t="shared" si="5"/>
        <v>9.0908398787322098E-2</v>
      </c>
      <c r="H23" s="95"/>
      <c r="I23" s="4"/>
      <c r="J23" s="1">
        <v>1977</v>
      </c>
      <c r="K23" s="95">
        <v>6.3477911999999997E-2</v>
      </c>
      <c r="L23" s="94">
        <v>0.53</v>
      </c>
      <c r="M23" s="12">
        <f>'Pot.tuot ja tuotantokuilu'!J25</f>
        <v>-5.1841875393557009E-2</v>
      </c>
      <c r="N23" s="95">
        <f t="shared" si="6"/>
        <v>-2.7476193958585218E-2</v>
      </c>
      <c r="O23" s="95">
        <v>0</v>
      </c>
      <c r="P23" s="95">
        <f t="shared" si="7"/>
        <v>9.0954105958585219E-2</v>
      </c>
      <c r="Q23" s="95"/>
      <c r="R23" s="4"/>
      <c r="S23" s="105">
        <f t="shared" si="0"/>
        <v>0</v>
      </c>
      <c r="T23" s="52">
        <f t="shared" si="1"/>
        <v>4.5707171263113799E-5</v>
      </c>
      <c r="U23" s="52">
        <f t="shared" si="2"/>
        <v>0</v>
      </c>
      <c r="V23" s="52">
        <f t="shared" si="3"/>
        <v>-4.5707171263120738E-5</v>
      </c>
      <c r="W23" s="4"/>
      <c r="X23" s="92">
        <v>1977</v>
      </c>
      <c r="AE23" s="4"/>
    </row>
    <row r="24" spans="1:36" x14ac:dyDescent="0.2">
      <c r="A24" s="1">
        <v>1978</v>
      </c>
      <c r="B24" s="95">
        <v>3.8937482000000002E-2</v>
      </c>
      <c r="C24" s="82">
        <v>0.53</v>
      </c>
      <c r="D24" s="12">
        <f>'Pot.tuot ja tuotantokuilu'!D26</f>
        <v>-5.2911507515719741E-2</v>
      </c>
      <c r="E24" s="95">
        <f t="shared" si="4"/>
        <v>-2.8043098983331464E-2</v>
      </c>
      <c r="F24" s="95">
        <v>0</v>
      </c>
      <c r="G24" s="95">
        <f t="shared" si="5"/>
        <v>6.698058098333147E-2</v>
      </c>
      <c r="H24" s="95"/>
      <c r="I24" s="4"/>
      <c r="J24" s="1">
        <v>1978</v>
      </c>
      <c r="K24" s="95">
        <v>3.8937482000000002E-2</v>
      </c>
      <c r="L24" s="94">
        <v>0.53</v>
      </c>
      <c r="M24" s="12">
        <f>'Pot.tuot ja tuotantokuilu'!J26</f>
        <v>-5.3230688519369726E-2</v>
      </c>
      <c r="N24" s="95">
        <f t="shared" si="6"/>
        <v>-2.8212264915265958E-2</v>
      </c>
      <c r="O24" s="95">
        <v>0</v>
      </c>
      <c r="P24" s="95">
        <f t="shared" si="7"/>
        <v>6.7149746915265957E-2</v>
      </c>
      <c r="Q24" s="95"/>
      <c r="R24" s="4"/>
      <c r="S24" s="105">
        <f t="shared" si="0"/>
        <v>0</v>
      </c>
      <c r="T24" s="52">
        <f t="shared" si="1"/>
        <v>1.6916593193449375E-4</v>
      </c>
      <c r="U24" s="52">
        <f t="shared" si="2"/>
        <v>0</v>
      </c>
      <c r="V24" s="52">
        <f t="shared" si="3"/>
        <v>-1.6916593193448681E-4</v>
      </c>
      <c r="W24" s="4"/>
      <c r="X24" s="92">
        <v>1978</v>
      </c>
      <c r="AE24" s="4"/>
      <c r="AI24" s="94"/>
      <c r="AJ24" s="96"/>
    </row>
    <row r="25" spans="1:36" x14ac:dyDescent="0.2">
      <c r="A25" s="1">
        <v>1979</v>
      </c>
      <c r="B25" s="95">
        <v>3.4707987000000003E-2</v>
      </c>
      <c r="C25" s="82">
        <v>0.53</v>
      </c>
      <c r="D25" s="12">
        <f>'Pot.tuot ja tuotantokuilu'!D27</f>
        <v>-1.7838084395330953E-2</v>
      </c>
      <c r="E25" s="95">
        <f t="shared" si="4"/>
        <v>-9.4541847295254045E-3</v>
      </c>
      <c r="F25" s="95">
        <v>0</v>
      </c>
      <c r="G25" s="95">
        <f t="shared" si="5"/>
        <v>4.4162171729525405E-2</v>
      </c>
      <c r="H25" s="95"/>
      <c r="I25" s="4"/>
      <c r="J25" s="1">
        <v>1979</v>
      </c>
      <c r="K25" s="95">
        <v>3.4707987000000003E-2</v>
      </c>
      <c r="L25" s="94">
        <v>0.53</v>
      </c>
      <c r="M25" s="12">
        <f>'Pot.tuot ja tuotantokuilu'!J27</f>
        <v>-1.8211280925130285E-2</v>
      </c>
      <c r="N25" s="95">
        <f t="shared" si="6"/>
        <v>-9.6519788903190514E-3</v>
      </c>
      <c r="O25" s="95">
        <v>0</v>
      </c>
      <c r="P25" s="95">
        <f t="shared" si="7"/>
        <v>4.4359965890319056E-2</v>
      </c>
      <c r="Q25" s="95"/>
      <c r="R25" s="4"/>
      <c r="S25" s="105">
        <f t="shared" si="0"/>
        <v>0</v>
      </c>
      <c r="T25" s="52">
        <f t="shared" si="1"/>
        <v>1.9779416079364689E-4</v>
      </c>
      <c r="U25" s="52">
        <f t="shared" si="2"/>
        <v>0</v>
      </c>
      <c r="V25" s="52">
        <f t="shared" si="3"/>
        <v>-1.9779416079365036E-4</v>
      </c>
      <c r="W25" s="4"/>
      <c r="X25" s="92">
        <v>1979</v>
      </c>
      <c r="AE25" s="4"/>
      <c r="AI25" s="94"/>
      <c r="AJ25" s="94"/>
    </row>
    <row r="26" spans="1:36" x14ac:dyDescent="0.2">
      <c r="A26" s="1">
        <v>1980</v>
      </c>
      <c r="B26" s="95">
        <v>3.7856691999999997E-2</v>
      </c>
      <c r="C26" s="82">
        <v>0.53</v>
      </c>
      <c r="D26" s="12">
        <f>'Pot.tuot ja tuotantokuilu'!D28</f>
        <v>1.8401476555049643E-4</v>
      </c>
      <c r="E26" s="95">
        <f t="shared" si="4"/>
        <v>9.752782574176311E-5</v>
      </c>
      <c r="F26" s="95">
        <v>0</v>
      </c>
      <c r="G26" s="95">
        <f t="shared" si="5"/>
        <v>3.7759164174258238E-2</v>
      </c>
      <c r="H26" s="95"/>
      <c r="I26" s="4"/>
      <c r="J26" s="1">
        <v>1980</v>
      </c>
      <c r="K26" s="95">
        <v>3.7856691999999997E-2</v>
      </c>
      <c r="L26" s="94">
        <v>0.53</v>
      </c>
      <c r="M26" s="12">
        <f>'Pot.tuot ja tuotantokuilu'!J28</f>
        <v>-2.0277880138427668E-4</v>
      </c>
      <c r="N26" s="95">
        <f t="shared" si="6"/>
        <v>-1.0747276473366664E-4</v>
      </c>
      <c r="O26" s="95">
        <v>0</v>
      </c>
      <c r="P26" s="95">
        <f t="shared" si="7"/>
        <v>3.7964164764733667E-2</v>
      </c>
      <c r="Q26" s="95"/>
      <c r="R26" s="4"/>
      <c r="S26" s="105">
        <f t="shared" si="0"/>
        <v>0</v>
      </c>
      <c r="T26" s="52">
        <f t="shared" si="1"/>
        <v>2.0500059047542975E-4</v>
      </c>
      <c r="U26" s="52">
        <f t="shared" si="2"/>
        <v>0</v>
      </c>
      <c r="V26" s="52">
        <f t="shared" si="3"/>
        <v>-2.0500059047542929E-4</v>
      </c>
      <c r="W26" s="4"/>
      <c r="X26" s="92">
        <v>1980</v>
      </c>
      <c r="AE26" s="4"/>
    </row>
    <row r="27" spans="1:36" x14ac:dyDescent="0.2">
      <c r="A27" s="1">
        <v>1981</v>
      </c>
      <c r="B27" s="95">
        <v>5.1902101999999999E-2</v>
      </c>
      <c r="C27" s="82">
        <v>0.53</v>
      </c>
      <c r="D27" s="12">
        <f>'Pot.tuot ja tuotantokuilu'!D29</f>
        <v>-1.3750835647530641E-2</v>
      </c>
      <c r="E27" s="95">
        <f t="shared" si="4"/>
        <v>-7.2879428931912401E-3</v>
      </c>
      <c r="F27" s="95">
        <v>0</v>
      </c>
      <c r="G27" s="95">
        <f t="shared" si="5"/>
        <v>5.919004489319124E-2</v>
      </c>
      <c r="H27" s="95"/>
      <c r="I27" s="4"/>
      <c r="J27" s="1">
        <v>1981</v>
      </c>
      <c r="K27" s="95">
        <v>5.1902101999999999E-2</v>
      </c>
      <c r="L27" s="94">
        <v>0.53</v>
      </c>
      <c r="M27" s="12">
        <f>'Pot.tuot ja tuotantokuilu'!J29</f>
        <v>-1.4343589869691059E-2</v>
      </c>
      <c r="N27" s="95">
        <f t="shared" si="6"/>
        <v>-7.6021026309362619E-3</v>
      </c>
      <c r="O27" s="95">
        <v>0</v>
      </c>
      <c r="P27" s="95">
        <f t="shared" si="7"/>
        <v>5.950420463093626E-2</v>
      </c>
      <c r="Q27" s="95"/>
      <c r="R27" s="4"/>
      <c r="S27" s="105">
        <f t="shared" si="0"/>
        <v>0</v>
      </c>
      <c r="T27" s="52">
        <f t="shared" si="1"/>
        <v>3.1415973774502181E-4</v>
      </c>
      <c r="U27" s="52">
        <f t="shared" si="2"/>
        <v>0</v>
      </c>
      <c r="V27" s="52">
        <f t="shared" si="3"/>
        <v>-3.1415973774501921E-4</v>
      </c>
      <c r="W27" s="4"/>
      <c r="X27" s="92">
        <v>1981</v>
      </c>
      <c r="AE27" s="4"/>
    </row>
    <row r="28" spans="1:36" x14ac:dyDescent="0.2">
      <c r="A28" s="1">
        <v>1982</v>
      </c>
      <c r="B28" s="95">
        <v>3.1016547999999998E-2</v>
      </c>
      <c r="C28" s="82">
        <v>0.53</v>
      </c>
      <c r="D28" s="12">
        <f>'Pot.tuot ja tuotantokuilu'!D30</f>
        <v>-1.3576395408674648E-2</v>
      </c>
      <c r="E28" s="95">
        <f t="shared" si="4"/>
        <v>-7.1954895665975634E-3</v>
      </c>
      <c r="F28" s="95">
        <v>0</v>
      </c>
      <c r="G28" s="95">
        <f t="shared" si="5"/>
        <v>3.8212037566597565E-2</v>
      </c>
      <c r="H28" s="95"/>
      <c r="I28" s="4"/>
      <c r="J28" s="1">
        <v>1982</v>
      </c>
      <c r="K28" s="95">
        <v>3.1016547999999998E-2</v>
      </c>
      <c r="L28" s="94">
        <v>0.53</v>
      </c>
      <c r="M28" s="12">
        <f>'Pot.tuot ja tuotantokuilu'!J30</f>
        <v>-1.418656773500216E-2</v>
      </c>
      <c r="N28" s="95">
        <f t="shared" si="6"/>
        <v>-7.5188808995511457E-3</v>
      </c>
      <c r="O28" s="95">
        <v>0</v>
      </c>
      <c r="P28" s="95">
        <f t="shared" si="7"/>
        <v>3.8535428899551145E-2</v>
      </c>
      <c r="Q28" s="95"/>
      <c r="R28" s="4"/>
      <c r="S28" s="105">
        <f t="shared" si="0"/>
        <v>0</v>
      </c>
      <c r="T28" s="52">
        <f t="shared" si="1"/>
        <v>3.2339133295358237E-4</v>
      </c>
      <c r="U28" s="52">
        <f t="shared" si="2"/>
        <v>0</v>
      </c>
      <c r="V28" s="52">
        <f t="shared" si="3"/>
        <v>-3.2339133295358063E-4</v>
      </c>
      <c r="W28" s="4"/>
      <c r="X28" s="92">
        <v>1982</v>
      </c>
      <c r="AE28" s="4"/>
    </row>
    <row r="29" spans="1:36" x14ac:dyDescent="0.2">
      <c r="A29" s="1">
        <v>1983</v>
      </c>
      <c r="B29" s="95">
        <v>1.5369265999999999E-2</v>
      </c>
      <c r="C29" s="82">
        <v>0.53</v>
      </c>
      <c r="D29" s="12">
        <f>'Pot.tuot ja tuotantokuilu'!D31</f>
        <v>-1.5097714512624077E-2</v>
      </c>
      <c r="E29" s="95">
        <f t="shared" si="4"/>
        <v>-8.0017886916907612E-3</v>
      </c>
      <c r="F29" s="95">
        <v>0</v>
      </c>
      <c r="G29" s="95">
        <f t="shared" si="5"/>
        <v>2.3371054691690762E-2</v>
      </c>
      <c r="H29" s="95"/>
      <c r="I29" s="4"/>
      <c r="J29" s="1">
        <v>1983</v>
      </c>
      <c r="K29" s="95">
        <v>1.5369265999999999E-2</v>
      </c>
      <c r="L29" s="94">
        <v>0.53</v>
      </c>
      <c r="M29" s="12">
        <f>'Pot.tuot ja tuotantokuilu'!J31</f>
        <v>-1.5421848135425287E-2</v>
      </c>
      <c r="N29" s="95">
        <f t="shared" si="6"/>
        <v>-8.1735795117754036E-3</v>
      </c>
      <c r="O29" s="95">
        <v>0</v>
      </c>
      <c r="P29" s="95">
        <f t="shared" si="7"/>
        <v>2.3542845511775403E-2</v>
      </c>
      <c r="Q29" s="95"/>
      <c r="R29" s="4"/>
      <c r="S29" s="105">
        <f t="shared" si="0"/>
        <v>0</v>
      </c>
      <c r="T29" s="52">
        <f t="shared" si="1"/>
        <v>1.7179082008464235E-4</v>
      </c>
      <c r="U29" s="52">
        <f t="shared" si="2"/>
        <v>0</v>
      </c>
      <c r="V29" s="52">
        <f t="shared" si="3"/>
        <v>-1.7179082008464061E-4</v>
      </c>
      <c r="W29" s="4"/>
      <c r="X29" s="92">
        <v>1983</v>
      </c>
      <c r="AE29" s="4"/>
    </row>
    <row r="30" spans="1:36" x14ac:dyDescent="0.2">
      <c r="A30" s="1">
        <v>1984</v>
      </c>
      <c r="B30" s="95">
        <v>3.2763235000000002E-2</v>
      </c>
      <c r="C30" s="82">
        <v>0.53</v>
      </c>
      <c r="D30" s="12">
        <f>'Pot.tuot ja tuotantokuilu'!D32</f>
        <v>-1.4482091563176864E-2</v>
      </c>
      <c r="E30" s="95">
        <f t="shared" si="4"/>
        <v>-7.6755085284837378E-3</v>
      </c>
      <c r="F30" s="95">
        <v>0</v>
      </c>
      <c r="G30" s="95">
        <f t="shared" si="5"/>
        <v>4.0438743528483742E-2</v>
      </c>
      <c r="H30" s="95"/>
      <c r="I30" s="4"/>
      <c r="J30" s="1">
        <v>1984</v>
      </c>
      <c r="K30" s="95">
        <v>3.2763235000000002E-2</v>
      </c>
      <c r="L30" s="94">
        <v>0.53</v>
      </c>
      <c r="M30" s="12">
        <f>'Pot.tuot ja tuotantokuilu'!J32</f>
        <v>-1.4365016953714617E-2</v>
      </c>
      <c r="N30" s="95">
        <f t="shared" si="6"/>
        <v>-7.6134589854687474E-3</v>
      </c>
      <c r="O30" s="95">
        <v>0</v>
      </c>
      <c r="P30" s="95">
        <f t="shared" si="7"/>
        <v>4.0376693985468746E-2</v>
      </c>
      <c r="Q30" s="95"/>
      <c r="R30" s="4"/>
      <c r="S30" s="105">
        <f t="shared" si="0"/>
        <v>0</v>
      </c>
      <c r="T30" s="52">
        <f t="shared" si="1"/>
        <v>-6.2049543014990396E-5</v>
      </c>
      <c r="U30" s="52">
        <f t="shared" si="2"/>
        <v>0</v>
      </c>
      <c r="V30" s="52">
        <f t="shared" si="3"/>
        <v>6.2049543014995601E-5</v>
      </c>
      <c r="W30" s="4"/>
      <c r="X30" s="92">
        <v>1984</v>
      </c>
      <c r="AE30" s="4"/>
    </row>
    <row r="31" spans="1:36" x14ac:dyDescent="0.2">
      <c r="A31" s="1">
        <v>1985</v>
      </c>
      <c r="B31" s="95">
        <v>3.4042330000000003E-2</v>
      </c>
      <c r="C31" s="82">
        <v>0.53</v>
      </c>
      <c r="D31" s="12">
        <f>'Pot.tuot ja tuotantokuilu'!D33</f>
        <v>-1.0977853944754779E-2</v>
      </c>
      <c r="E31" s="95">
        <f t="shared" si="4"/>
        <v>-5.818262590720033E-3</v>
      </c>
      <c r="F31" s="95">
        <v>0</v>
      </c>
      <c r="G31" s="95">
        <f t="shared" si="5"/>
        <v>3.9860592590720036E-2</v>
      </c>
      <c r="H31" s="95"/>
      <c r="I31" s="4"/>
      <c r="J31" s="1">
        <v>1985</v>
      </c>
      <c r="K31" s="95">
        <v>3.4042330000000003E-2</v>
      </c>
      <c r="L31" s="94">
        <v>0.53</v>
      </c>
      <c r="M31" s="12">
        <f>'Pot.tuot ja tuotantokuilu'!J33</f>
        <v>-1.0436755773942999E-2</v>
      </c>
      <c r="N31" s="95">
        <f t="shared" si="6"/>
        <v>-5.5314805601897896E-3</v>
      </c>
      <c r="O31" s="95">
        <v>0</v>
      </c>
      <c r="P31" s="95">
        <f t="shared" si="7"/>
        <v>3.9573810560189791E-2</v>
      </c>
      <c r="Q31" s="95"/>
      <c r="R31" s="4"/>
      <c r="S31" s="105">
        <f t="shared" si="0"/>
        <v>0</v>
      </c>
      <c r="T31" s="52">
        <f t="shared" si="1"/>
        <v>-2.8678203053024345E-4</v>
      </c>
      <c r="U31" s="52">
        <f t="shared" si="2"/>
        <v>0</v>
      </c>
      <c r="V31" s="52">
        <f t="shared" si="3"/>
        <v>2.8678203053024431E-4</v>
      </c>
      <c r="W31" s="4"/>
      <c r="X31" s="92">
        <v>1985</v>
      </c>
      <c r="AE31" s="4"/>
    </row>
    <row r="32" spans="1:36" x14ac:dyDescent="0.2">
      <c r="A32" s="1">
        <v>1986</v>
      </c>
      <c r="B32" s="95">
        <v>3.8679857000000005E-2</v>
      </c>
      <c r="C32" s="82">
        <v>0.53</v>
      </c>
      <c r="D32" s="12">
        <f>'Pot.tuot ja tuotantokuilu'!D34</f>
        <v>-1.100303677079633E-2</v>
      </c>
      <c r="E32" s="95">
        <f t="shared" si="4"/>
        <v>-5.831609488522055E-3</v>
      </c>
      <c r="F32" s="95">
        <v>0</v>
      </c>
      <c r="G32" s="95">
        <f t="shared" si="5"/>
        <v>4.4511466488522063E-2</v>
      </c>
      <c r="H32" s="95"/>
      <c r="I32" s="4"/>
      <c r="J32" s="1">
        <v>1986</v>
      </c>
      <c r="K32" s="95">
        <v>3.8679857000000005E-2</v>
      </c>
      <c r="L32" s="94">
        <v>0.53</v>
      </c>
      <c r="M32" s="12">
        <f>'Pot.tuot ja tuotantokuilu'!J34</f>
        <v>-1.0126926814453341E-2</v>
      </c>
      <c r="N32" s="95">
        <f t="shared" si="6"/>
        <v>-5.3672712116602708E-3</v>
      </c>
      <c r="O32" s="95">
        <v>0</v>
      </c>
      <c r="P32" s="95">
        <f t="shared" si="7"/>
        <v>4.4047128211660277E-2</v>
      </c>
      <c r="Q32" s="95"/>
      <c r="R32" s="4"/>
      <c r="S32" s="105">
        <f t="shared" si="0"/>
        <v>0</v>
      </c>
      <c r="T32" s="52">
        <f t="shared" si="1"/>
        <v>-4.6433827686178427E-4</v>
      </c>
      <c r="U32" s="52">
        <f t="shared" si="2"/>
        <v>0</v>
      </c>
      <c r="V32" s="52">
        <f t="shared" si="3"/>
        <v>4.6433827686178514E-4</v>
      </c>
      <c r="W32" s="4"/>
      <c r="X32" s="92">
        <v>1986</v>
      </c>
      <c r="AE32" s="4"/>
    </row>
    <row r="33" spans="1:31" x14ac:dyDescent="0.2">
      <c r="A33" s="1">
        <v>1987</v>
      </c>
      <c r="B33" s="95">
        <v>1.6478646999999999E-2</v>
      </c>
      <c r="C33" s="82">
        <v>0.53</v>
      </c>
      <c r="D33" s="12">
        <f>'Pot.tuot ja tuotantokuilu'!D35</f>
        <v>-8.7384642768532309E-4</v>
      </c>
      <c r="E33" s="95">
        <f t="shared" si="4"/>
        <v>-4.6313860667322125E-4</v>
      </c>
      <c r="F33" s="95">
        <v>0</v>
      </c>
      <c r="G33" s="95">
        <f t="shared" si="5"/>
        <v>1.6941785606673219E-2</v>
      </c>
      <c r="H33" s="95"/>
      <c r="I33" s="4"/>
      <c r="J33" s="1">
        <v>1987</v>
      </c>
      <c r="K33" s="95">
        <v>1.6478646999999999E-2</v>
      </c>
      <c r="L33" s="94">
        <v>0.53</v>
      </c>
      <c r="M33" s="12">
        <f>'Pot.tuot ja tuotantokuilu'!J35</f>
        <v>3.1046394646078119E-4</v>
      </c>
      <c r="N33" s="95">
        <f t="shared" si="6"/>
        <v>1.6454589162421404E-4</v>
      </c>
      <c r="O33" s="95">
        <v>0</v>
      </c>
      <c r="P33" s="95">
        <f t="shared" si="7"/>
        <v>1.6314101108375785E-2</v>
      </c>
      <c r="Q33" s="95"/>
      <c r="R33" s="4"/>
      <c r="S33" s="105">
        <f t="shared" si="0"/>
        <v>0</v>
      </c>
      <c r="T33" s="52">
        <f t="shared" si="1"/>
        <v>-6.2768449829743531E-4</v>
      </c>
      <c r="U33" s="52">
        <f t="shared" si="2"/>
        <v>0</v>
      </c>
      <c r="V33" s="52">
        <f t="shared" si="3"/>
        <v>6.2768449829743445E-4</v>
      </c>
      <c r="W33" s="4"/>
      <c r="X33" s="92">
        <v>1987</v>
      </c>
      <c r="AE33" s="4"/>
    </row>
    <row r="34" spans="1:31" x14ac:dyDescent="0.2">
      <c r="A34" s="1">
        <v>1988</v>
      </c>
      <c r="B34" s="95">
        <v>5.2491280000000001E-2</v>
      </c>
      <c r="C34" s="82">
        <v>0.53</v>
      </c>
      <c r="D34" s="12">
        <f>'Pot.tuot ja tuotantokuilu'!D36</f>
        <v>2.839179311513965E-2</v>
      </c>
      <c r="E34" s="95">
        <f t="shared" si="4"/>
        <v>1.5047650351024015E-2</v>
      </c>
      <c r="F34" s="95">
        <v>0</v>
      </c>
      <c r="G34" s="95">
        <f t="shared" si="5"/>
        <v>3.744362964897599E-2</v>
      </c>
      <c r="H34" s="95"/>
      <c r="I34" s="4"/>
      <c r="J34" s="1">
        <v>1988</v>
      </c>
      <c r="K34" s="95">
        <v>5.2491280000000001E-2</v>
      </c>
      <c r="L34" s="94">
        <v>0.53</v>
      </c>
      <c r="M34" s="12">
        <f>'Pot.tuot ja tuotantokuilu'!J36</f>
        <v>2.9722843258470244E-2</v>
      </c>
      <c r="N34" s="95">
        <f t="shared" si="6"/>
        <v>1.5753106926989231E-2</v>
      </c>
      <c r="O34" s="95">
        <v>0</v>
      </c>
      <c r="P34" s="95">
        <f t="shared" si="7"/>
        <v>3.673817307301077E-2</v>
      </c>
      <c r="Q34" s="95"/>
      <c r="R34" s="4"/>
      <c r="S34" s="105">
        <f t="shared" si="0"/>
        <v>0</v>
      </c>
      <c r="T34" s="52">
        <f t="shared" si="1"/>
        <v>-7.0545657596521663E-4</v>
      </c>
      <c r="U34" s="52">
        <f t="shared" si="2"/>
        <v>0</v>
      </c>
      <c r="V34" s="52">
        <f t="shared" si="3"/>
        <v>7.054565759652201E-4</v>
      </c>
      <c r="W34" s="4"/>
      <c r="X34" s="92">
        <v>1988</v>
      </c>
      <c r="AE34" s="4"/>
    </row>
    <row r="35" spans="1:31" x14ac:dyDescent="0.2">
      <c r="A35" s="1">
        <v>1989</v>
      </c>
      <c r="B35" s="95">
        <v>6.8287242999999997E-2</v>
      </c>
      <c r="C35" s="82">
        <v>0.53</v>
      </c>
      <c r="D35" s="12">
        <f>'Pot.tuot ja tuotantokuilu'!D37</f>
        <v>5.8575819525300568E-2</v>
      </c>
      <c r="E35" s="95">
        <f t="shared" si="4"/>
        <v>3.1045184348409301E-2</v>
      </c>
      <c r="F35" s="95">
        <v>0</v>
      </c>
      <c r="G35" s="95">
        <f t="shared" si="5"/>
        <v>3.7242058651590693E-2</v>
      </c>
      <c r="H35" s="95"/>
      <c r="I35" s="4"/>
      <c r="J35" s="1">
        <v>1989</v>
      </c>
      <c r="K35" s="95">
        <v>6.8287242999999997E-2</v>
      </c>
      <c r="L35" s="94">
        <v>0.53</v>
      </c>
      <c r="M35" s="12">
        <f>'Pot.tuot ja tuotantokuilu'!J37</f>
        <v>5.9805720089502974E-2</v>
      </c>
      <c r="N35" s="95">
        <f t="shared" si="6"/>
        <v>3.1697031647436577E-2</v>
      </c>
      <c r="O35" s="95">
        <v>0</v>
      </c>
      <c r="P35" s="95">
        <f t="shared" si="7"/>
        <v>3.659021135256342E-2</v>
      </c>
      <c r="Q35" s="95"/>
      <c r="R35" s="4"/>
      <c r="S35" s="105">
        <f t="shared" si="0"/>
        <v>0</v>
      </c>
      <c r="T35" s="52">
        <f t="shared" si="1"/>
        <v>-6.518472990272757E-4</v>
      </c>
      <c r="U35" s="52">
        <f t="shared" si="2"/>
        <v>0</v>
      </c>
      <c r="V35" s="52">
        <f t="shared" si="3"/>
        <v>6.5184729902727223E-4</v>
      </c>
      <c r="W35" s="4"/>
      <c r="X35" s="92">
        <v>1989</v>
      </c>
      <c r="AE35" s="4"/>
    </row>
    <row r="36" spans="1:31" x14ac:dyDescent="0.2">
      <c r="A36" s="1">
        <v>1990</v>
      </c>
      <c r="B36" s="95">
        <v>5.3853733000000001E-2</v>
      </c>
      <c r="C36" s="82">
        <v>0.53</v>
      </c>
      <c r="D36" s="12">
        <f>'Pot.tuot ja tuotantokuilu'!D38</f>
        <v>5.0272582909773628E-2</v>
      </c>
      <c r="E36" s="95">
        <f t="shared" si="4"/>
        <v>2.6644468942180023E-2</v>
      </c>
      <c r="F36" s="95">
        <v>0</v>
      </c>
      <c r="G36" s="95">
        <f t="shared" si="5"/>
        <v>2.7209264057819978E-2</v>
      </c>
      <c r="H36" s="95"/>
      <c r="I36" s="4"/>
      <c r="J36" s="1">
        <v>1990</v>
      </c>
      <c r="K36" s="95">
        <v>5.3853733000000001E-2</v>
      </c>
      <c r="L36" s="94">
        <v>0.53</v>
      </c>
      <c r="M36" s="12">
        <f>'Pot.tuot ja tuotantokuilu'!J38</f>
        <v>5.1181573821306517E-2</v>
      </c>
      <c r="N36" s="95">
        <f t="shared" si="6"/>
        <v>2.7126234125292456E-2</v>
      </c>
      <c r="O36" s="95">
        <v>0</v>
      </c>
      <c r="P36" s="95">
        <f t="shared" si="7"/>
        <v>2.6727498874707545E-2</v>
      </c>
      <c r="Q36" s="95"/>
      <c r="R36" s="4"/>
      <c r="S36" s="105">
        <f t="shared" si="0"/>
        <v>0</v>
      </c>
      <c r="T36" s="52">
        <f t="shared" si="1"/>
        <v>-4.8176518311243352E-4</v>
      </c>
      <c r="U36" s="52">
        <f t="shared" si="2"/>
        <v>0</v>
      </c>
      <c r="V36" s="52">
        <f t="shared" si="3"/>
        <v>4.8176518311243352E-4</v>
      </c>
      <c r="W36" s="4"/>
      <c r="X36" s="92">
        <v>1990</v>
      </c>
      <c r="AE36" s="4"/>
    </row>
    <row r="37" spans="1:31" x14ac:dyDescent="0.2">
      <c r="A37" s="1">
        <v>1991</v>
      </c>
      <c r="B37" s="95">
        <v>-9.5168800000000001E-3</v>
      </c>
      <c r="C37" s="82">
        <v>0.53</v>
      </c>
      <c r="D37" s="12">
        <f>'Pot.tuot ja tuotantokuilu'!D39</f>
        <v>-1.547722721556651E-2</v>
      </c>
      <c r="E37" s="95">
        <f t="shared" si="4"/>
        <v>-8.2029304242502502E-3</v>
      </c>
      <c r="F37" s="95">
        <v>0</v>
      </c>
      <c r="G37" s="95">
        <f t="shared" si="5"/>
        <v>-1.31394957574975E-3</v>
      </c>
      <c r="H37" s="95"/>
      <c r="I37" s="4"/>
      <c r="J37" s="1">
        <v>1991</v>
      </c>
      <c r="K37" s="95">
        <v>-9.5168800000000001E-3</v>
      </c>
      <c r="L37" s="94">
        <v>0.53</v>
      </c>
      <c r="M37" s="12">
        <f>'Pot.tuot ja tuotantokuilu'!J39</f>
        <v>-1.5201839254931246E-2</v>
      </c>
      <c r="N37" s="95">
        <f t="shared" si="6"/>
        <v>-8.0569748051135606E-3</v>
      </c>
      <c r="O37" s="95">
        <v>0</v>
      </c>
      <c r="P37" s="95">
        <f t="shared" si="7"/>
        <v>-1.4599051948864395E-3</v>
      </c>
      <c r="Q37" s="95"/>
      <c r="R37" s="4"/>
      <c r="S37" s="105">
        <f t="shared" si="0"/>
        <v>0</v>
      </c>
      <c r="T37" s="52">
        <f t="shared" si="1"/>
        <v>-1.4595561913668953E-4</v>
      </c>
      <c r="U37" s="52">
        <f t="shared" si="2"/>
        <v>0</v>
      </c>
      <c r="V37" s="52">
        <f t="shared" si="3"/>
        <v>1.4595561913668953E-4</v>
      </c>
      <c r="W37" s="4"/>
      <c r="X37" s="92">
        <v>1991</v>
      </c>
      <c r="AE37" s="4"/>
    </row>
    <row r="38" spans="1:31" x14ac:dyDescent="0.2">
      <c r="A38" s="1">
        <v>1992</v>
      </c>
      <c r="B38" s="95">
        <v>-5.4564293E-2</v>
      </c>
      <c r="C38" s="82">
        <v>0.53</v>
      </c>
      <c r="D38" s="12">
        <f>'Pot.tuot ja tuotantokuilu'!D40</f>
        <v>-5.1160107668031585E-2</v>
      </c>
      <c r="E38" s="95">
        <f t="shared" si="4"/>
        <v>-2.7114857064056742E-2</v>
      </c>
      <c r="F38" s="95">
        <v>0</v>
      </c>
      <c r="G38" s="95">
        <f t="shared" si="5"/>
        <v>-2.7449435935943258E-2</v>
      </c>
      <c r="H38" s="95"/>
      <c r="I38" s="4"/>
      <c r="J38" s="1">
        <v>1992</v>
      </c>
      <c r="K38" s="95">
        <v>-5.4564293E-2</v>
      </c>
      <c r="L38" s="94">
        <v>0.53</v>
      </c>
      <c r="M38" s="12">
        <f>'Pot.tuot ja tuotantokuilu'!J40</f>
        <v>-5.1497004817544149E-2</v>
      </c>
      <c r="N38" s="95">
        <f t="shared" si="6"/>
        <v>-2.72934125532984E-2</v>
      </c>
      <c r="O38" s="95">
        <v>0</v>
      </c>
      <c r="P38" s="95">
        <f t="shared" si="7"/>
        <v>-2.72708804467016E-2</v>
      </c>
      <c r="Q38" s="95"/>
      <c r="R38" s="4"/>
      <c r="S38" s="105">
        <f t="shared" si="0"/>
        <v>0</v>
      </c>
      <c r="T38" s="52">
        <f t="shared" si="1"/>
        <v>1.7855548924165798E-4</v>
      </c>
      <c r="U38" s="52">
        <f t="shared" si="2"/>
        <v>0</v>
      </c>
      <c r="V38" s="52">
        <f t="shared" si="3"/>
        <v>-1.7855548924165798E-4</v>
      </c>
      <c r="W38" s="4"/>
      <c r="X38" s="92">
        <v>1992</v>
      </c>
      <c r="AE38" s="4"/>
    </row>
    <row r="39" spans="1:31" x14ac:dyDescent="0.2">
      <c r="A39" s="1">
        <v>1993</v>
      </c>
      <c r="B39" s="95">
        <v>-8.2250876000000001E-2</v>
      </c>
      <c r="C39" s="82">
        <v>0.53</v>
      </c>
      <c r="D39" s="12">
        <f>'Pot.tuot ja tuotantokuilu'!D41</f>
        <v>-6.3008137119513669E-2</v>
      </c>
      <c r="E39" s="95">
        <f t="shared" si="4"/>
        <v>-3.3394312673342245E-2</v>
      </c>
      <c r="F39" s="95">
        <v>0</v>
      </c>
      <c r="G39" s="95">
        <f t="shared" si="5"/>
        <v>-4.8856563326657755E-2</v>
      </c>
      <c r="H39" s="95"/>
      <c r="I39" s="4"/>
      <c r="J39" s="1">
        <v>1993</v>
      </c>
      <c r="K39" s="95">
        <v>-8.2250876000000001E-2</v>
      </c>
      <c r="L39" s="94">
        <v>0.53</v>
      </c>
      <c r="M39" s="12">
        <f>'Pot.tuot ja tuotantokuilu'!J41</f>
        <v>-6.3953583812149786E-2</v>
      </c>
      <c r="N39" s="95">
        <f t="shared" si="6"/>
        <v>-3.3895399420439391E-2</v>
      </c>
      <c r="O39" s="95">
        <v>0</v>
      </c>
      <c r="P39" s="95">
        <f t="shared" si="7"/>
        <v>-4.8355476579560609E-2</v>
      </c>
      <c r="Q39" s="95"/>
      <c r="R39" s="4"/>
      <c r="S39" s="105">
        <f t="shared" si="0"/>
        <v>0</v>
      </c>
      <c r="T39" s="52">
        <f t="shared" si="1"/>
        <v>5.0108674709714585E-4</v>
      </c>
      <c r="U39" s="52">
        <f t="shared" si="2"/>
        <v>0</v>
      </c>
      <c r="V39" s="52">
        <f t="shared" si="3"/>
        <v>-5.0108674709714585E-4</v>
      </c>
      <c r="W39" s="4"/>
      <c r="X39" s="92">
        <v>1993</v>
      </c>
      <c r="AE39" s="4"/>
    </row>
    <row r="40" spans="1:31" x14ac:dyDescent="0.2">
      <c r="A40" s="1">
        <v>1994</v>
      </c>
      <c r="B40" s="95">
        <v>-6.6761685000000001E-2</v>
      </c>
      <c r="C40" s="82">
        <v>0.53</v>
      </c>
      <c r="D40" s="12">
        <f>'Pot.tuot ja tuotantokuilu'!D42</f>
        <v>-4.3160515857156787E-2</v>
      </c>
      <c r="E40" s="95">
        <f t="shared" si="4"/>
        <v>-2.2875073404293098E-2</v>
      </c>
      <c r="F40" s="95">
        <v>0</v>
      </c>
      <c r="G40" s="95">
        <f t="shared" si="5"/>
        <v>-4.3886611595706906E-2</v>
      </c>
      <c r="H40" s="95"/>
      <c r="I40" s="4"/>
      <c r="J40" s="1">
        <v>1994</v>
      </c>
      <c r="K40" s="95">
        <v>-6.6761685000000001E-2</v>
      </c>
      <c r="L40" s="94">
        <v>0.53</v>
      </c>
      <c r="M40" s="12">
        <f>'Pot.tuot ja tuotantokuilu'!J42</f>
        <v>-4.426678388298852E-2</v>
      </c>
      <c r="N40" s="95">
        <f t="shared" si="6"/>
        <v>-2.3461395457983918E-2</v>
      </c>
      <c r="O40" s="95">
        <v>0</v>
      </c>
      <c r="P40" s="95">
        <f t="shared" si="7"/>
        <v>-4.3300289542016084E-2</v>
      </c>
      <c r="Q40" s="95"/>
      <c r="R40" s="4"/>
      <c r="S40" s="105">
        <f t="shared" si="0"/>
        <v>0</v>
      </c>
      <c r="T40" s="52">
        <f t="shared" si="1"/>
        <v>5.8632205369081938E-4</v>
      </c>
      <c r="U40" s="52">
        <f t="shared" si="2"/>
        <v>0</v>
      </c>
      <c r="V40" s="52">
        <f t="shared" si="3"/>
        <v>-5.8632205369082285E-4</v>
      </c>
      <c r="W40" s="4"/>
      <c r="X40" s="92">
        <v>1994</v>
      </c>
      <c r="AE40" s="4"/>
    </row>
    <row r="41" spans="1:31" x14ac:dyDescent="0.2">
      <c r="A41" s="1">
        <v>1995</v>
      </c>
      <c r="B41" s="95">
        <v>-6.1240423000000002E-2</v>
      </c>
      <c r="C41" s="82">
        <v>0.53</v>
      </c>
      <c r="D41" s="12">
        <f>'Pot.tuot ja tuotantokuilu'!D43</f>
        <v>-2.7822724709085315E-2</v>
      </c>
      <c r="E41" s="95">
        <f t="shared" si="4"/>
        <v>-1.4746044095815218E-2</v>
      </c>
      <c r="F41" s="95">
        <v>0</v>
      </c>
      <c r="G41" s="95">
        <f t="shared" si="5"/>
        <v>-4.6494378904184785E-2</v>
      </c>
      <c r="H41" s="95"/>
      <c r="I41" s="4"/>
      <c r="J41" s="1">
        <v>1995</v>
      </c>
      <c r="K41" s="95">
        <v>-6.1240423000000002E-2</v>
      </c>
      <c r="L41" s="94">
        <v>0.53</v>
      </c>
      <c r="M41" s="12">
        <f>'Pot.tuot ja tuotantokuilu'!J43</f>
        <v>-2.8893043106034466E-2</v>
      </c>
      <c r="N41" s="95">
        <f t="shared" si="6"/>
        <v>-1.5313312846198269E-2</v>
      </c>
      <c r="O41" s="95">
        <v>0</v>
      </c>
      <c r="P41" s="95">
        <f t="shared" si="7"/>
        <v>-4.5927110153801735E-2</v>
      </c>
      <c r="Q41" s="95"/>
      <c r="R41" s="4"/>
      <c r="S41" s="105">
        <f t="shared" si="0"/>
        <v>0</v>
      </c>
      <c r="T41" s="52">
        <f t="shared" si="1"/>
        <v>5.6726875038305008E-4</v>
      </c>
      <c r="U41" s="52">
        <f t="shared" si="2"/>
        <v>0</v>
      </c>
      <c r="V41" s="52">
        <f t="shared" si="3"/>
        <v>-5.6726875038305008E-4</v>
      </c>
      <c r="W41" s="4"/>
      <c r="X41" s="92">
        <v>1995</v>
      </c>
      <c r="AE41" s="4"/>
    </row>
    <row r="42" spans="1:31" x14ac:dyDescent="0.2">
      <c r="A42" s="1">
        <v>1996</v>
      </c>
      <c r="B42" s="95">
        <v>-3.3834018E-2</v>
      </c>
      <c r="C42" s="82">
        <v>0.53</v>
      </c>
      <c r="D42" s="12">
        <f>'Pot.tuot ja tuotantokuilu'!D44</f>
        <v>-2.024067296352372E-2</v>
      </c>
      <c r="E42" s="95">
        <f t="shared" si="4"/>
        <v>-1.0727556670667573E-2</v>
      </c>
      <c r="F42" s="95">
        <v>0</v>
      </c>
      <c r="G42" s="95">
        <f t="shared" si="5"/>
        <v>-2.3106461329332428E-2</v>
      </c>
      <c r="H42" s="95"/>
      <c r="I42" s="4"/>
      <c r="J42" s="1">
        <v>1996</v>
      </c>
      <c r="K42" s="95">
        <v>-3.3834018E-2</v>
      </c>
      <c r="L42" s="94">
        <v>0.53</v>
      </c>
      <c r="M42" s="12">
        <f>'Pot.tuot ja tuotantokuilu'!J44</f>
        <v>-2.1268622264767983E-2</v>
      </c>
      <c r="N42" s="95">
        <f t="shared" si="6"/>
        <v>-1.1272369800327031E-2</v>
      </c>
      <c r="O42" s="95">
        <v>0</v>
      </c>
      <c r="P42" s="95">
        <f t="shared" si="7"/>
        <v>-2.2561648199672969E-2</v>
      </c>
      <c r="Q42" s="95"/>
      <c r="R42" s="4"/>
      <c r="S42" s="105">
        <f t="shared" si="0"/>
        <v>0</v>
      </c>
      <c r="T42" s="52">
        <f t="shared" si="1"/>
        <v>5.4481312965945841E-4</v>
      </c>
      <c r="U42" s="52">
        <f t="shared" si="2"/>
        <v>0</v>
      </c>
      <c r="V42" s="52">
        <f t="shared" si="3"/>
        <v>-5.4481312965945841E-4</v>
      </c>
      <c r="W42" s="4"/>
      <c r="X42" s="92">
        <v>1996</v>
      </c>
      <c r="AE42" s="4"/>
    </row>
    <row r="43" spans="1:31" x14ac:dyDescent="0.2">
      <c r="A43" s="1">
        <v>1997</v>
      </c>
      <c r="B43" s="95">
        <v>-1.2823617000000001E-2</v>
      </c>
      <c r="C43" s="82">
        <v>0.53</v>
      </c>
      <c r="D43" s="12">
        <f>'Pot.tuot ja tuotantokuilu'!D45</f>
        <v>5.8848070277772125E-3</v>
      </c>
      <c r="E43" s="95">
        <f t="shared" si="4"/>
        <v>3.1189477247219226E-3</v>
      </c>
      <c r="F43" s="95">
        <v>0</v>
      </c>
      <c r="G43" s="95">
        <f t="shared" si="5"/>
        <v>-1.5942564724721924E-2</v>
      </c>
      <c r="H43" s="95"/>
      <c r="I43" s="4"/>
      <c r="J43" s="1">
        <v>1997</v>
      </c>
      <c r="K43" s="95">
        <v>-1.2823617000000001E-2</v>
      </c>
      <c r="L43" s="94">
        <v>0.53</v>
      </c>
      <c r="M43" s="12">
        <f>'Pot.tuot ja tuotantokuilu'!J45</f>
        <v>5.1265383380993809E-3</v>
      </c>
      <c r="N43" s="95">
        <f t="shared" si="6"/>
        <v>2.7170653191926721E-3</v>
      </c>
      <c r="O43" s="95">
        <v>0</v>
      </c>
      <c r="P43" s="95">
        <f t="shared" si="7"/>
        <v>-1.5540682319192672E-2</v>
      </c>
      <c r="Q43" s="95"/>
      <c r="R43" s="4"/>
      <c r="S43" s="105">
        <f t="shared" si="0"/>
        <v>0</v>
      </c>
      <c r="T43" s="52">
        <f t="shared" si="1"/>
        <v>4.0188240552925048E-4</v>
      </c>
      <c r="U43" s="52">
        <f t="shared" si="2"/>
        <v>0</v>
      </c>
      <c r="V43" s="52">
        <f t="shared" si="3"/>
        <v>-4.0188240552925178E-4</v>
      </c>
      <c r="W43" s="4"/>
      <c r="X43" s="92">
        <v>1997</v>
      </c>
      <c r="AE43" s="4"/>
    </row>
    <row r="44" spans="1:31" x14ac:dyDescent="0.2">
      <c r="A44" s="1">
        <v>1998</v>
      </c>
      <c r="B44" s="95">
        <v>1.6625082999999999E-2</v>
      </c>
      <c r="C44" s="82">
        <v>0.53</v>
      </c>
      <c r="D44" s="12">
        <f>'Pot.tuot ja tuotantokuilu'!D46</f>
        <v>1.6799899976874318E-2</v>
      </c>
      <c r="E44" s="95">
        <f t="shared" si="4"/>
        <v>8.9039469877433882E-3</v>
      </c>
      <c r="F44" s="95">
        <v>0</v>
      </c>
      <c r="G44" s="95">
        <f t="shared" si="5"/>
        <v>7.7211360122566106E-3</v>
      </c>
      <c r="H44" s="95"/>
      <c r="I44" s="4"/>
      <c r="J44" s="1">
        <v>1998</v>
      </c>
      <c r="K44" s="95">
        <v>1.6625082999999999E-2</v>
      </c>
      <c r="L44" s="94">
        <v>0.53</v>
      </c>
      <c r="M44" s="12">
        <f>'Pot.tuot ja tuotantokuilu'!J46</f>
        <v>1.6373693304526656E-2</v>
      </c>
      <c r="N44" s="95">
        <f t="shared" si="6"/>
        <v>8.6780574513991276E-3</v>
      </c>
      <c r="O44" s="95">
        <v>0</v>
      </c>
      <c r="P44" s="95">
        <f t="shared" si="7"/>
        <v>7.9470255486008713E-3</v>
      </c>
      <c r="Q44" s="95"/>
      <c r="R44" s="4"/>
      <c r="S44" s="105">
        <f t="shared" si="0"/>
        <v>0</v>
      </c>
      <c r="T44" s="52">
        <f t="shared" si="1"/>
        <v>2.2588953634426062E-4</v>
      </c>
      <c r="U44" s="52">
        <f t="shared" si="2"/>
        <v>0</v>
      </c>
      <c r="V44" s="52">
        <f t="shared" si="3"/>
        <v>-2.2588953634426062E-4</v>
      </c>
      <c r="W44" s="4"/>
      <c r="X44" s="92">
        <v>1998</v>
      </c>
      <c r="AE44" s="4"/>
    </row>
    <row r="45" spans="1:31" x14ac:dyDescent="0.2">
      <c r="A45" s="1">
        <v>1999</v>
      </c>
      <c r="B45" s="95">
        <v>1.7216994999999999E-2</v>
      </c>
      <c r="C45" s="82">
        <v>0.53</v>
      </c>
      <c r="D45" s="12">
        <f>'Pot.tuot ja tuotantokuilu'!D47</f>
        <v>1.5182090009436537E-2</v>
      </c>
      <c r="E45" s="95">
        <f t="shared" si="4"/>
        <v>8.0465077050013659E-3</v>
      </c>
      <c r="F45" s="95">
        <v>0</v>
      </c>
      <c r="G45" s="95">
        <f t="shared" si="5"/>
        <v>9.1704872949986329E-3</v>
      </c>
      <c r="H45" s="95"/>
      <c r="I45" s="4"/>
      <c r="J45" s="1">
        <v>1999</v>
      </c>
      <c r="K45" s="95">
        <v>1.7216994999999999E-2</v>
      </c>
      <c r="L45" s="94">
        <v>0.53</v>
      </c>
      <c r="M45" s="12">
        <f>'Pot.tuot ja tuotantokuilu'!J47</f>
        <v>1.5145898018450087E-2</v>
      </c>
      <c r="N45" s="95">
        <f t="shared" si="6"/>
        <v>8.0273259497785458E-3</v>
      </c>
      <c r="O45" s="95">
        <v>0</v>
      </c>
      <c r="P45" s="95">
        <f t="shared" si="7"/>
        <v>9.189669050221453E-3</v>
      </c>
      <c r="Q45" s="95"/>
      <c r="R45" s="4"/>
      <c r="S45" s="105">
        <f t="shared" si="0"/>
        <v>0</v>
      </c>
      <c r="T45" s="52">
        <f t="shared" si="1"/>
        <v>1.9181755222820104E-5</v>
      </c>
      <c r="U45" s="52">
        <f t="shared" si="2"/>
        <v>0</v>
      </c>
      <c r="V45" s="52">
        <f t="shared" si="3"/>
        <v>-1.9181755222820104E-5</v>
      </c>
      <c r="W45" s="4"/>
      <c r="X45" s="92">
        <v>1999</v>
      </c>
      <c r="AE45" s="4"/>
    </row>
    <row r="46" spans="1:31" x14ac:dyDescent="0.2">
      <c r="A46" s="1">
        <v>2000</v>
      </c>
      <c r="B46" s="95">
        <v>7.0191762000000005E-2</v>
      </c>
      <c r="C46" s="82">
        <v>0.53</v>
      </c>
      <c r="D46" s="12">
        <f>'Pot.tuot ja tuotantokuilu'!D48</f>
        <v>2.7222728038774575E-2</v>
      </c>
      <c r="E46" s="95">
        <f t="shared" si="4"/>
        <v>1.4428045860550525E-2</v>
      </c>
      <c r="F46" s="95">
        <v>0</v>
      </c>
      <c r="G46" s="95">
        <f t="shared" si="5"/>
        <v>5.5763716139449478E-2</v>
      </c>
      <c r="H46" s="95"/>
      <c r="I46" s="4"/>
      <c r="J46" s="1">
        <v>2000</v>
      </c>
      <c r="K46" s="95">
        <v>7.0191762000000005E-2</v>
      </c>
      <c r="L46" s="94">
        <v>0.53</v>
      </c>
      <c r="M46" s="12">
        <f>'Pot.tuot ja tuotantokuilu'!J48</f>
        <v>2.7532047933687773E-2</v>
      </c>
      <c r="N46" s="95">
        <f t="shared" si="6"/>
        <v>1.4591985404854521E-2</v>
      </c>
      <c r="O46" s="95">
        <v>0</v>
      </c>
      <c r="P46" s="95">
        <f t="shared" si="7"/>
        <v>5.5599776595145485E-2</v>
      </c>
      <c r="Q46" s="95"/>
      <c r="R46" s="4"/>
      <c r="S46" s="105">
        <f t="shared" si="0"/>
        <v>0</v>
      </c>
      <c r="T46" s="52">
        <f t="shared" si="1"/>
        <v>-1.6393954430399607E-4</v>
      </c>
      <c r="U46" s="52">
        <f t="shared" si="2"/>
        <v>0</v>
      </c>
      <c r="V46" s="52">
        <f t="shared" si="3"/>
        <v>1.639395443039926E-4</v>
      </c>
      <c r="W46" s="4"/>
      <c r="X46" s="92">
        <v>2000</v>
      </c>
      <c r="AE46" s="4"/>
    </row>
    <row r="47" spans="1:31" x14ac:dyDescent="0.2">
      <c r="A47" s="1">
        <v>2001</v>
      </c>
      <c r="B47" s="95">
        <v>5.1246339000000002E-2</v>
      </c>
      <c r="C47" s="82">
        <v>0.53</v>
      </c>
      <c r="D47" s="12">
        <f>'Pot.tuot ja tuotantokuilu'!D49</f>
        <v>1.083300698114445E-2</v>
      </c>
      <c r="E47" s="95">
        <f t="shared" si="4"/>
        <v>5.7414937000065582E-3</v>
      </c>
      <c r="F47" s="95">
        <v>0</v>
      </c>
      <c r="G47" s="95">
        <f t="shared" si="5"/>
        <v>4.5504845299993442E-2</v>
      </c>
      <c r="H47" s="95"/>
      <c r="I47" s="4"/>
      <c r="J47" s="1">
        <v>2001</v>
      </c>
      <c r="K47" s="95">
        <v>5.1246339000000002E-2</v>
      </c>
      <c r="L47" s="94">
        <v>0.53</v>
      </c>
      <c r="M47" s="12">
        <f>'Pot.tuot ja tuotantokuilu'!J49</f>
        <v>1.1463941125390651E-2</v>
      </c>
      <c r="N47" s="95">
        <f t="shared" si="6"/>
        <v>6.0758887964570451E-3</v>
      </c>
      <c r="O47" s="95">
        <v>0</v>
      </c>
      <c r="P47" s="95">
        <f t="shared" si="7"/>
        <v>4.5170450203542954E-2</v>
      </c>
      <c r="Q47" s="95"/>
      <c r="R47" s="4"/>
      <c r="S47" s="105">
        <f t="shared" si="0"/>
        <v>0</v>
      </c>
      <c r="T47" s="52">
        <f t="shared" si="1"/>
        <v>-3.3439509645048684E-4</v>
      </c>
      <c r="U47" s="52">
        <f t="shared" si="2"/>
        <v>0</v>
      </c>
      <c r="V47" s="52">
        <f t="shared" si="3"/>
        <v>3.3439509645048771E-4</v>
      </c>
      <c r="W47" s="4"/>
      <c r="X47" s="92">
        <v>2001</v>
      </c>
      <c r="AE47" s="4"/>
    </row>
    <row r="48" spans="1:31" x14ac:dyDescent="0.2">
      <c r="A48" s="1">
        <v>2002</v>
      </c>
      <c r="B48" s="95">
        <v>4.1713657000000001E-2</v>
      </c>
      <c r="C48" s="82">
        <v>0.53</v>
      </c>
      <c r="D48" s="12">
        <f>'Pot.tuot ja tuotantokuilu'!D50</f>
        <v>-4.1460786516658672E-3</v>
      </c>
      <c r="E48" s="95">
        <f t="shared" si="4"/>
        <v>-2.1974216853829099E-3</v>
      </c>
      <c r="F48" s="95">
        <v>0</v>
      </c>
      <c r="G48" s="95">
        <f t="shared" si="5"/>
        <v>4.3911078685382909E-2</v>
      </c>
      <c r="H48" s="95"/>
      <c r="I48" s="4"/>
      <c r="J48" s="1">
        <v>2002</v>
      </c>
      <c r="K48" s="95">
        <v>4.1713657000000001E-2</v>
      </c>
      <c r="L48" s="94">
        <v>0.53</v>
      </c>
      <c r="M48" s="12">
        <f>'Pot.tuot ja tuotantokuilu'!J50</f>
        <v>-3.4580591041478586E-3</v>
      </c>
      <c r="N48" s="95">
        <f t="shared" si="6"/>
        <v>-1.8327713251983652E-3</v>
      </c>
      <c r="O48" s="95">
        <v>0</v>
      </c>
      <c r="P48" s="95">
        <f t="shared" si="7"/>
        <v>4.3546428325198366E-2</v>
      </c>
      <c r="Q48" s="95"/>
      <c r="R48" s="4"/>
      <c r="S48" s="105">
        <f t="shared" si="0"/>
        <v>0</v>
      </c>
      <c r="T48" s="52">
        <f t="shared" si="1"/>
        <v>-3.6465036018454473E-4</v>
      </c>
      <c r="U48" s="52">
        <f t="shared" si="2"/>
        <v>0</v>
      </c>
      <c r="V48" s="52">
        <f t="shared" si="3"/>
        <v>3.64650360184543E-4</v>
      </c>
      <c r="W48" s="4"/>
      <c r="X48" s="92">
        <v>2002</v>
      </c>
      <c r="AE48" s="4"/>
    </row>
    <row r="49" spans="1:31" x14ac:dyDescent="0.2">
      <c r="A49" s="1">
        <v>2003</v>
      </c>
      <c r="B49" s="95">
        <v>2.6496072999999998E-2</v>
      </c>
      <c r="C49" s="82">
        <v>0.53</v>
      </c>
      <c r="D49" s="12">
        <f>'Pot.tuot ja tuotantokuilu'!D51</f>
        <v>-1.5003634736688995E-2</v>
      </c>
      <c r="E49" s="95">
        <f t="shared" si="4"/>
        <v>-7.9519264104451672E-3</v>
      </c>
      <c r="F49" s="95">
        <v>0</v>
      </c>
      <c r="G49" s="95">
        <f t="shared" si="5"/>
        <v>3.4447999410445164E-2</v>
      </c>
      <c r="H49" s="95">
        <v>3.4390000000000004E-2</v>
      </c>
      <c r="I49" s="4"/>
      <c r="J49" s="1">
        <v>2003</v>
      </c>
      <c r="K49" s="95">
        <v>2.6496072999999998E-2</v>
      </c>
      <c r="L49" s="94">
        <v>0.53</v>
      </c>
      <c r="M49" s="12">
        <f>'Pot.tuot ja tuotantokuilu'!J51</f>
        <v>-1.4241997458397123E-2</v>
      </c>
      <c r="N49" s="95">
        <f t="shared" si="6"/>
        <v>-7.5482586529504753E-3</v>
      </c>
      <c r="O49" s="95">
        <v>0</v>
      </c>
      <c r="P49" s="95">
        <f t="shared" si="7"/>
        <v>3.4044331652950476E-2</v>
      </c>
      <c r="Q49" s="95">
        <v>3.4050470081106864E-2</v>
      </c>
      <c r="R49" s="4"/>
      <c r="S49" s="105">
        <f t="shared" si="0"/>
        <v>0</v>
      </c>
      <c r="T49" s="52">
        <f t="shared" si="1"/>
        <v>-4.0366775749469189E-4</v>
      </c>
      <c r="U49" s="52">
        <f t="shared" si="2"/>
        <v>0</v>
      </c>
      <c r="V49" s="52">
        <f t="shared" si="3"/>
        <v>4.0366775749468842E-4</v>
      </c>
      <c r="W49" s="4"/>
      <c r="X49" s="92">
        <v>2003</v>
      </c>
      <c r="AE49" s="4"/>
    </row>
    <row r="50" spans="1:31" x14ac:dyDescent="0.2">
      <c r="A50" s="1">
        <v>2004</v>
      </c>
      <c r="B50" s="95">
        <v>2.4667358E-2</v>
      </c>
      <c r="C50" s="82">
        <v>0.53</v>
      </c>
      <c r="D50" s="12">
        <f>'Pot.tuot ja tuotantokuilu'!D52</f>
        <v>-3.8020337274234763E-3</v>
      </c>
      <c r="E50" s="95">
        <f t="shared" si="4"/>
        <v>-2.0150778755344424E-3</v>
      </c>
      <c r="F50" s="95">
        <v>0</v>
      </c>
      <c r="G50" s="95">
        <f t="shared" si="5"/>
        <v>2.6682435875534441E-2</v>
      </c>
      <c r="H50" s="95">
        <v>2.6667999999999997E-2</v>
      </c>
      <c r="I50" s="4"/>
      <c r="J50" s="1">
        <v>2004</v>
      </c>
      <c r="K50" s="95">
        <v>2.4667358E-2</v>
      </c>
      <c r="L50" s="94">
        <v>0.53</v>
      </c>
      <c r="M50" s="12">
        <f>'Pot.tuot ja tuotantokuilu'!J52</f>
        <v>-3.0267473078860545E-3</v>
      </c>
      <c r="N50" s="95">
        <f t="shared" si="6"/>
        <v>-1.604176073179609E-3</v>
      </c>
      <c r="O50" s="95">
        <v>0</v>
      </c>
      <c r="P50" s="95">
        <f t="shared" si="7"/>
        <v>2.6271534073179611E-2</v>
      </c>
      <c r="Q50" s="95">
        <v>2.6276836533878675E-2</v>
      </c>
      <c r="R50" s="4"/>
      <c r="S50" s="105">
        <f t="shared" si="0"/>
        <v>0</v>
      </c>
      <c r="T50" s="52">
        <f t="shared" si="1"/>
        <v>-4.1090180235483337E-4</v>
      </c>
      <c r="U50" s="52">
        <f t="shared" si="2"/>
        <v>0</v>
      </c>
      <c r="V50" s="52">
        <f t="shared" si="3"/>
        <v>4.1090180235483012E-4</v>
      </c>
      <c r="W50" s="4"/>
      <c r="X50" s="92">
        <v>2004</v>
      </c>
      <c r="AE50" s="4"/>
    </row>
    <row r="51" spans="1:31" x14ac:dyDescent="0.2">
      <c r="A51" s="1">
        <v>2005</v>
      </c>
      <c r="B51" s="95">
        <v>2.8800284999999998E-2</v>
      </c>
      <c r="C51" s="82">
        <v>0.53</v>
      </c>
      <c r="D51" s="12">
        <f>'Pot.tuot ja tuotantokuilu'!D53</f>
        <v>-1.6054154421368952E-3</v>
      </c>
      <c r="E51" s="95">
        <f t="shared" si="4"/>
        <v>-8.5087018433255453E-4</v>
      </c>
      <c r="F51" s="95">
        <v>0</v>
      </c>
      <c r="G51" s="95">
        <f t="shared" si="5"/>
        <v>2.9651155184332555E-2</v>
      </c>
      <c r="H51" s="95">
        <v>2.9645999999999999E-2</v>
      </c>
      <c r="I51" s="4"/>
      <c r="J51" s="1">
        <v>2005</v>
      </c>
      <c r="K51" s="95">
        <v>2.8800284999999998E-2</v>
      </c>
      <c r="L51" s="94">
        <v>0.53</v>
      </c>
      <c r="M51" s="12">
        <f>'Pot.tuot ja tuotantokuilu'!J53</f>
        <v>-8.4054483979113532E-4</v>
      </c>
      <c r="N51" s="95">
        <f t="shared" si="6"/>
        <v>-4.4548876508930177E-4</v>
      </c>
      <c r="O51" s="95">
        <v>0</v>
      </c>
      <c r="P51" s="95">
        <f t="shared" si="7"/>
        <v>2.92457737650893E-2</v>
      </c>
      <c r="Q51" s="95">
        <v>2.9243933160259656E-2</v>
      </c>
      <c r="R51" s="4"/>
      <c r="S51" s="105">
        <f t="shared" si="0"/>
        <v>0</v>
      </c>
      <c r="T51" s="52">
        <f t="shared" si="1"/>
        <v>-4.0538141924325276E-4</v>
      </c>
      <c r="U51" s="52">
        <f t="shared" si="2"/>
        <v>0</v>
      </c>
      <c r="V51" s="52">
        <f t="shared" si="3"/>
        <v>4.0538141924325449E-4</v>
      </c>
      <c r="W51" s="4"/>
      <c r="X51" s="92">
        <v>2005</v>
      </c>
      <c r="AE51" s="4"/>
    </row>
    <row r="52" spans="1:31" x14ac:dyDescent="0.2">
      <c r="A52" s="1">
        <v>2006</v>
      </c>
      <c r="B52" s="95">
        <v>4.1890628000000006E-2</v>
      </c>
      <c r="C52" s="82">
        <v>0.53</v>
      </c>
      <c r="D52" s="12">
        <f>'Pot.tuot ja tuotantokuilu'!D54</f>
        <v>1.774459869103737E-2</v>
      </c>
      <c r="E52" s="95">
        <f t="shared" si="4"/>
        <v>9.4046373062498072E-3</v>
      </c>
      <c r="F52" s="95">
        <v>0</v>
      </c>
      <c r="G52" s="95">
        <f t="shared" si="5"/>
        <v>3.2485990693750202E-2</v>
      </c>
      <c r="H52" s="95">
        <v>3.2556000000000002E-2</v>
      </c>
      <c r="I52" s="4"/>
      <c r="J52" s="1">
        <v>2006</v>
      </c>
      <c r="K52" s="95">
        <v>4.1890628000000006E-2</v>
      </c>
      <c r="L52" s="94">
        <v>0.53</v>
      </c>
      <c r="M52" s="12">
        <f>'Pot.tuot ja tuotantokuilu'!J54</f>
        <v>1.8537531461356029E-2</v>
      </c>
      <c r="N52" s="95">
        <f t="shared" si="6"/>
        <v>9.8248916745186966E-3</v>
      </c>
      <c r="O52" s="95">
        <v>0</v>
      </c>
      <c r="P52" s="95">
        <f t="shared" si="7"/>
        <v>3.2065736325481306E-2</v>
      </c>
      <c r="Q52" s="95">
        <v>3.2063420765128255E-2</v>
      </c>
      <c r="R52" s="4"/>
      <c r="S52" s="105">
        <f t="shared" si="0"/>
        <v>0</v>
      </c>
      <c r="T52" s="52">
        <f t="shared" si="1"/>
        <v>-4.2025436826888946E-4</v>
      </c>
      <c r="U52" s="52">
        <f t="shared" si="2"/>
        <v>0</v>
      </c>
      <c r="V52" s="52">
        <f t="shared" si="3"/>
        <v>4.2025436826889639E-4</v>
      </c>
      <c r="W52" s="4"/>
      <c r="X52" s="92">
        <v>2006</v>
      </c>
      <c r="AE52" s="4"/>
    </row>
    <row r="53" spans="1:31" x14ac:dyDescent="0.2">
      <c r="A53" s="1">
        <v>2007</v>
      </c>
      <c r="B53" s="95">
        <v>5.3383751000000007E-2</v>
      </c>
      <c r="C53" s="82">
        <v>0.53</v>
      </c>
      <c r="D53" s="12">
        <f>'Pot.tuot ja tuotantokuilu'!D55</f>
        <v>4.8248031209246013E-2</v>
      </c>
      <c r="E53" s="95">
        <f t="shared" si="4"/>
        <v>2.557145654090039E-2</v>
      </c>
      <c r="F53" s="95">
        <v>0</v>
      </c>
      <c r="G53" s="95">
        <f t="shared" si="5"/>
        <v>2.7812294459099617E-2</v>
      </c>
      <c r="H53" s="95">
        <v>2.8001000000000002E-2</v>
      </c>
      <c r="I53" s="4"/>
      <c r="J53" s="1">
        <v>2007</v>
      </c>
      <c r="K53" s="95">
        <v>5.3383751000000007E-2</v>
      </c>
      <c r="L53" s="94">
        <v>0.53</v>
      </c>
      <c r="M53" s="12">
        <f>'Pot.tuot ja tuotantokuilu'!J55</f>
        <v>4.9148195093863645E-2</v>
      </c>
      <c r="N53" s="95">
        <f t="shared" si="6"/>
        <v>2.6048543399747732E-2</v>
      </c>
      <c r="O53" s="95">
        <v>0</v>
      </c>
      <c r="P53" s="95">
        <f t="shared" si="7"/>
        <v>2.7335207600252275E-2</v>
      </c>
      <c r="Q53" s="95">
        <v>2.7332956232504663E-2</v>
      </c>
      <c r="R53" s="4"/>
      <c r="S53" s="105">
        <f t="shared" si="0"/>
        <v>0</v>
      </c>
      <c r="T53" s="52">
        <f t="shared" si="1"/>
        <v>-4.7708685884734203E-4</v>
      </c>
      <c r="U53" s="52">
        <f t="shared" si="2"/>
        <v>0</v>
      </c>
      <c r="V53" s="52">
        <f t="shared" si="3"/>
        <v>4.7708685884734203E-4</v>
      </c>
      <c r="W53" s="4"/>
      <c r="X53" s="92">
        <v>2007</v>
      </c>
      <c r="AE53" s="4"/>
    </row>
    <row r="54" spans="1:31" x14ac:dyDescent="0.2">
      <c r="A54" s="1">
        <v>2008</v>
      </c>
      <c r="B54" s="95">
        <v>4.3948942000000005E-2</v>
      </c>
      <c r="C54" s="82">
        <v>0.53</v>
      </c>
      <c r="D54" s="12">
        <f>'Pot.tuot ja tuotantokuilu'!D56</f>
        <v>3.5366344799427255E-2</v>
      </c>
      <c r="E54" s="95">
        <f t="shared" si="4"/>
        <v>1.8744162743696446E-2</v>
      </c>
      <c r="F54" s="95">
        <v>0</v>
      </c>
      <c r="G54" s="95">
        <f t="shared" si="5"/>
        <v>2.5204779256303558E-2</v>
      </c>
      <c r="H54" s="95">
        <v>2.5343000000000001E-2</v>
      </c>
      <c r="I54" s="4"/>
      <c r="J54" s="1">
        <v>2008</v>
      </c>
      <c r="K54" s="95">
        <v>4.3948942000000005E-2</v>
      </c>
      <c r="L54" s="94">
        <v>0.53</v>
      </c>
      <c r="M54" s="12">
        <f>'Pot.tuot ja tuotantokuilu'!J56</f>
        <v>3.629861485530906E-2</v>
      </c>
      <c r="N54" s="95">
        <f t="shared" si="6"/>
        <v>1.9238265873313804E-2</v>
      </c>
      <c r="O54" s="95">
        <v>0</v>
      </c>
      <c r="P54" s="95">
        <f t="shared" si="7"/>
        <v>2.4710676126686201E-2</v>
      </c>
      <c r="Q54" s="95">
        <v>2.4709794877329827E-2</v>
      </c>
      <c r="R54" s="4"/>
      <c r="S54" s="105">
        <f t="shared" si="0"/>
        <v>0</v>
      </c>
      <c r="T54" s="52">
        <f t="shared" si="1"/>
        <v>-4.9410312961735772E-4</v>
      </c>
      <c r="U54" s="52">
        <f t="shared" si="2"/>
        <v>0</v>
      </c>
      <c r="V54" s="52">
        <f t="shared" si="3"/>
        <v>4.9410312961735772E-4</v>
      </c>
      <c r="W54" s="4"/>
      <c r="X54" s="92">
        <v>2008</v>
      </c>
      <c r="AE54" s="4"/>
    </row>
    <row r="55" spans="1:31" x14ac:dyDescent="0.2">
      <c r="A55" s="1">
        <v>2009</v>
      </c>
      <c r="B55" s="95">
        <v>-2.4663702999999999E-2</v>
      </c>
      <c r="C55" s="82">
        <v>0.53</v>
      </c>
      <c r="D55" s="12">
        <f>'Pot.tuot ja tuotantokuilu'!D57</f>
        <v>-5.5654037037887585E-2</v>
      </c>
      <c r="E55" s="95">
        <f t="shared" si="4"/>
        <v>-2.9496639630080423E-2</v>
      </c>
      <c r="F55" s="95">
        <v>-8.5300000000000046E-4</v>
      </c>
      <c r="G55" s="95">
        <f t="shared" si="5"/>
        <v>5.6859366300804253E-3</v>
      </c>
      <c r="H55" s="95">
        <v>5.47E-3</v>
      </c>
      <c r="I55" s="4"/>
      <c r="J55" s="1">
        <v>2009</v>
      </c>
      <c r="K55" s="95">
        <v>-2.4663702999999999E-2</v>
      </c>
      <c r="L55" s="94">
        <v>0.53</v>
      </c>
      <c r="M55" s="12">
        <f>'Pot.tuot ja tuotantokuilu'!J57</f>
        <v>-5.5016073173487771E-2</v>
      </c>
      <c r="N55" s="95">
        <f t="shared" si="6"/>
        <v>-2.9158518781948521E-2</v>
      </c>
      <c r="O55" s="95">
        <v>0</v>
      </c>
      <c r="P55" s="95">
        <f t="shared" si="7"/>
        <v>4.4948157819485225E-3</v>
      </c>
      <c r="Q55" s="95">
        <v>4.4971458975262826E-3</v>
      </c>
      <c r="R55" s="4"/>
      <c r="S55" s="105">
        <f t="shared" si="0"/>
        <v>0</v>
      </c>
      <c r="T55" s="52">
        <f t="shared" si="1"/>
        <v>-3.381208481319023E-4</v>
      </c>
      <c r="U55" s="52">
        <f t="shared" si="2"/>
        <v>-8.5300000000000046E-4</v>
      </c>
      <c r="V55" s="52">
        <f t="shared" si="3"/>
        <v>1.1911208481319028E-3</v>
      </c>
      <c r="W55" s="4"/>
      <c r="X55" s="92">
        <v>2009</v>
      </c>
      <c r="AE55" s="4"/>
    </row>
    <row r="56" spans="1:31" x14ac:dyDescent="0.2">
      <c r="A56" s="1">
        <v>2010</v>
      </c>
      <c r="B56" s="95">
        <v>-2.4926702999999998E-2</v>
      </c>
      <c r="C56" s="82">
        <v>0.53</v>
      </c>
      <c r="D56" s="12">
        <f>'Pot.tuot ja tuotantokuilu'!D58</f>
        <v>-2.6410195227533774E-2</v>
      </c>
      <c r="E56" s="95">
        <f t="shared" si="4"/>
        <v>-1.3997403470592902E-2</v>
      </c>
      <c r="F56" s="95">
        <v>-8.2300000000000038E-4</v>
      </c>
      <c r="G56" s="95">
        <f t="shared" si="5"/>
        <v>-1.0106299529407095E-2</v>
      </c>
      <c r="H56" s="95">
        <v>-1.0211E-2</v>
      </c>
      <c r="I56" s="4"/>
      <c r="J56" s="1">
        <v>2010</v>
      </c>
      <c r="K56" s="95">
        <v>-2.4926702999999998E-2</v>
      </c>
      <c r="L56" s="94">
        <v>0.53</v>
      </c>
      <c r="M56" s="12">
        <f>'Pot.tuot ja tuotantokuilu'!J58</f>
        <v>-2.5811101122659205E-2</v>
      </c>
      <c r="N56" s="95">
        <f t="shared" si="6"/>
        <v>-1.3679883595009379E-2</v>
      </c>
      <c r="O56" s="95">
        <v>-2.1032600530822773E-3</v>
      </c>
      <c r="P56" s="95">
        <f t="shared" si="7"/>
        <v>-9.1435593519083418E-3</v>
      </c>
      <c r="Q56" s="95">
        <v>-9.1350188221891102E-3</v>
      </c>
      <c r="R56" s="4"/>
      <c r="S56" s="105">
        <f t="shared" si="0"/>
        <v>0</v>
      </c>
      <c r="T56" s="52">
        <f t="shared" si="1"/>
        <v>-3.1751987558352283E-4</v>
      </c>
      <c r="U56" s="52">
        <f t="shared" si="2"/>
        <v>1.2802600530822769E-3</v>
      </c>
      <c r="V56" s="52">
        <f t="shared" si="3"/>
        <v>-9.6274017749875367E-4</v>
      </c>
      <c r="W56" s="4"/>
      <c r="X56" s="142">
        <v>2010</v>
      </c>
      <c r="Y56" s="95">
        <f t="shared" ref="Y56:Y61" si="8">(B56+K56)/2</f>
        <v>-2.4926702999999998E-2</v>
      </c>
      <c r="Z56" s="143">
        <f t="shared" ref="Z56:Z61" si="9">C56</f>
        <v>0.53</v>
      </c>
      <c r="AA56" s="95">
        <f>'Pot.tuot ja tuotantokuilu'!V58</f>
        <v>-2.6110740189125854E-2</v>
      </c>
      <c r="AB56" s="95">
        <f>Z56*AA56</f>
        <v>-1.3838692300236703E-2</v>
      </c>
      <c r="AC56" s="105">
        <f t="shared" ref="AC56:AC61" si="10">O56</f>
        <v>-2.1032600530822773E-3</v>
      </c>
      <c r="AD56" s="105">
        <f>Y56-AB56-AC56</f>
        <v>-8.9847506466810174E-3</v>
      </c>
      <c r="AE56" s="4"/>
    </row>
    <row r="57" spans="1:31" x14ac:dyDescent="0.2">
      <c r="A57" s="1">
        <v>2011</v>
      </c>
      <c r="B57" s="95">
        <v>-7.1843339999999997E-3</v>
      </c>
      <c r="C57" s="82">
        <v>0.53</v>
      </c>
      <c r="D57" s="12">
        <f>'Pot.tuot ja tuotantokuilu'!D59</f>
        <v>-2.4515575969503382E-3</v>
      </c>
      <c r="E57" s="95">
        <f t="shared" si="4"/>
        <v>-1.2993255263836793E-3</v>
      </c>
      <c r="F57" s="95">
        <v>-7.7899999999999974E-4</v>
      </c>
      <c r="G57" s="95">
        <f t="shared" si="5"/>
        <v>-5.1060084736163202E-3</v>
      </c>
      <c r="H57" s="95">
        <v>-5.1219999999999998E-3</v>
      </c>
      <c r="I57" s="4"/>
      <c r="J57" s="1">
        <v>2011</v>
      </c>
      <c r="K57" s="95">
        <v>-7.1843339999999997E-3</v>
      </c>
      <c r="L57" s="94">
        <v>0.53</v>
      </c>
      <c r="M57" s="12">
        <f>'Pot.tuot ja tuotantokuilu'!J59</f>
        <v>-1.9852893182334664E-3</v>
      </c>
      <c r="N57" s="95">
        <f t="shared" si="6"/>
        <v>-1.0522033386637373E-3</v>
      </c>
      <c r="O57" s="95">
        <v>0</v>
      </c>
      <c r="P57" s="95">
        <f t="shared" si="7"/>
        <v>-6.1321306613362622E-3</v>
      </c>
      <c r="Q57" s="95">
        <v>-6.113398052622088E-3</v>
      </c>
      <c r="R57" s="4"/>
      <c r="S57" s="105">
        <f t="shared" si="0"/>
        <v>0</v>
      </c>
      <c r="T57" s="52">
        <f t="shared" si="1"/>
        <v>-2.4712218771994203E-4</v>
      </c>
      <c r="U57" s="52">
        <f t="shared" si="2"/>
        <v>-7.7899999999999974E-4</v>
      </c>
      <c r="V57" s="52">
        <f t="shared" si="3"/>
        <v>1.026122187719942E-3</v>
      </c>
      <c r="W57" s="4"/>
      <c r="X57" s="142">
        <v>2011</v>
      </c>
      <c r="Y57" s="95">
        <f t="shared" si="8"/>
        <v>-7.1843339999999997E-3</v>
      </c>
      <c r="Z57" s="143">
        <f t="shared" si="9"/>
        <v>0.53</v>
      </c>
      <c r="AA57" s="95">
        <f>'Pot.tuot ja tuotantokuilu'!V59</f>
        <v>-2.2184778560871816E-3</v>
      </c>
      <c r="AB57" s="95">
        <f t="shared" ref="AB57:AB61" si="11">Z57*AA57</f>
        <v>-1.1757932637262063E-3</v>
      </c>
      <c r="AC57" s="105">
        <f t="shared" si="10"/>
        <v>0</v>
      </c>
      <c r="AD57" s="105">
        <f t="shared" ref="AD57:AD61" si="12">Y57-AB57-AC57</f>
        <v>-6.0085407362737934E-3</v>
      </c>
      <c r="AE57" s="4"/>
    </row>
    <row r="58" spans="1:31" x14ac:dyDescent="0.2">
      <c r="A58" s="1">
        <v>2012</v>
      </c>
      <c r="B58" s="95">
        <v>-1.8258383E-2</v>
      </c>
      <c r="C58" s="82">
        <v>0.53</v>
      </c>
      <c r="D58" s="12">
        <f>'Pot.tuot ja tuotantokuilu'!D60</f>
        <v>-1.4811228099513319E-2</v>
      </c>
      <c r="E58" s="95">
        <f t="shared" si="4"/>
        <v>-7.8499508927420587E-3</v>
      </c>
      <c r="F58" s="95">
        <v>-7.6400000000000025E-4</v>
      </c>
      <c r="G58" s="95">
        <f t="shared" si="5"/>
        <v>-9.64443210725794E-3</v>
      </c>
      <c r="H58" s="95">
        <v>-9.7130000000000011E-3</v>
      </c>
      <c r="I58" s="4"/>
      <c r="J58" s="1">
        <v>2012</v>
      </c>
      <c r="K58" s="95">
        <v>-1.8258383E-2</v>
      </c>
      <c r="L58" s="94">
        <v>0.53</v>
      </c>
      <c r="M58" s="12">
        <f>'Pot.tuot ja tuotantokuilu'!J60</f>
        <v>-1.4811515604587657E-2</v>
      </c>
      <c r="N58" s="95">
        <f t="shared" si="6"/>
        <v>-7.8501032704314591E-3</v>
      </c>
      <c r="O58" s="95">
        <v>0</v>
      </c>
      <c r="P58" s="95">
        <f t="shared" si="7"/>
        <v>-1.040827972956854E-2</v>
      </c>
      <c r="Q58" s="95">
        <v>-1.0376517356905346E-2</v>
      </c>
      <c r="R58" s="4"/>
      <c r="S58" s="105">
        <f t="shared" si="0"/>
        <v>0</v>
      </c>
      <c r="T58" s="52">
        <f t="shared" si="1"/>
        <v>1.5237768940037921E-7</v>
      </c>
      <c r="U58" s="52">
        <f t="shared" si="2"/>
        <v>-7.6400000000000025E-4</v>
      </c>
      <c r="V58" s="52">
        <f t="shared" si="3"/>
        <v>7.6384762231060041E-4</v>
      </c>
      <c r="W58" s="4"/>
      <c r="X58" s="142">
        <v>2012</v>
      </c>
      <c r="Y58" s="95">
        <f t="shared" si="8"/>
        <v>-1.8258383E-2</v>
      </c>
      <c r="Z58" s="143">
        <f t="shared" si="9"/>
        <v>0.53</v>
      </c>
      <c r="AA58" s="95">
        <f>'Pot.tuot ja tuotantokuilu'!V60</f>
        <v>-1.48113718521192E-2</v>
      </c>
      <c r="AB58" s="95">
        <f t="shared" si="11"/>
        <v>-7.850027081623176E-3</v>
      </c>
      <c r="AC58" s="105">
        <f t="shared" si="10"/>
        <v>0</v>
      </c>
      <c r="AD58" s="105">
        <f t="shared" si="12"/>
        <v>-1.0408355918376824E-2</v>
      </c>
      <c r="AE58" s="4"/>
    </row>
    <row r="59" spans="1:31" x14ac:dyDescent="0.2">
      <c r="A59" s="1">
        <v>2013</v>
      </c>
      <c r="B59" s="95">
        <v>-2.1122501201904436E-2</v>
      </c>
      <c r="C59" s="82">
        <v>0.53</v>
      </c>
      <c r="D59" s="12">
        <f>'Pot.tuot ja tuotantokuilu'!D61</f>
        <v>-2.8155993247116793E-2</v>
      </c>
      <c r="E59" s="95">
        <f t="shared" si="4"/>
        <v>-1.4922676420971901E-2</v>
      </c>
      <c r="F59" s="95">
        <v>0</v>
      </c>
      <c r="G59" s="95">
        <f t="shared" si="5"/>
        <v>-6.1998247809325353E-3</v>
      </c>
      <c r="H59" s="95">
        <v>-9.3550000000000005E-3</v>
      </c>
      <c r="I59" s="4"/>
      <c r="J59" s="1">
        <v>2013</v>
      </c>
      <c r="K59" s="176">
        <v>-2.1122501201904401E-2</v>
      </c>
      <c r="L59" s="94">
        <v>0.53</v>
      </c>
      <c r="M59" s="12">
        <f>'Pot.tuot ja tuotantokuilu'!J61</f>
        <v>-2.98289435898949E-2</v>
      </c>
      <c r="N59" s="95">
        <f t="shared" si="6"/>
        <v>-1.5809340102644297E-2</v>
      </c>
      <c r="O59" s="95">
        <v>0</v>
      </c>
      <c r="P59" s="95">
        <f t="shared" si="7"/>
        <v>-5.3131610992601039E-3</v>
      </c>
      <c r="Q59" s="95">
        <v>-4.2582350516677803E-3</v>
      </c>
      <c r="R59" s="4"/>
      <c r="S59" s="105">
        <f t="shared" si="0"/>
        <v>-3.4694469519536142E-17</v>
      </c>
      <c r="T59" s="52">
        <f t="shared" si="1"/>
        <v>8.8666368167239669E-4</v>
      </c>
      <c r="U59" s="52">
        <f t="shared" si="2"/>
        <v>0</v>
      </c>
      <c r="V59" s="52">
        <f t="shared" si="3"/>
        <v>-8.8666368167243138E-4</v>
      </c>
      <c r="W59" s="4"/>
      <c r="X59" s="142">
        <v>2013</v>
      </c>
      <c r="Y59" s="95">
        <f t="shared" si="8"/>
        <v>-2.1122501201904419E-2</v>
      </c>
      <c r="Z59" s="143">
        <f t="shared" si="9"/>
        <v>0.53</v>
      </c>
      <c r="AA59" s="95">
        <f>'Pot.tuot ja tuotantokuilu'!V61</f>
        <v>-2.8993498141931525E-2</v>
      </c>
      <c r="AB59" s="95">
        <f t="shared" si="11"/>
        <v>-1.5366554015223709E-2</v>
      </c>
      <c r="AC59" s="105">
        <f t="shared" si="10"/>
        <v>0</v>
      </c>
      <c r="AD59" s="105">
        <f t="shared" si="12"/>
        <v>-5.7559471866807099E-3</v>
      </c>
      <c r="AE59" s="4"/>
    </row>
    <row r="60" spans="1:31" x14ac:dyDescent="0.2">
      <c r="A60" s="1">
        <v>2014</v>
      </c>
      <c r="B60" s="95">
        <v>-2.2158196201904436E-2</v>
      </c>
      <c r="C60" s="82">
        <v>0.53</v>
      </c>
      <c r="D60" s="12">
        <f>'Pot.tuot ja tuotantokuilu'!D62</f>
        <v>-2.603901413563053E-2</v>
      </c>
      <c r="E60" s="95">
        <f t="shared" si="4"/>
        <v>-1.3800677491884182E-2</v>
      </c>
      <c r="F60" s="95">
        <v>0</v>
      </c>
      <c r="G60" s="95">
        <f t="shared" si="5"/>
        <v>-8.3575187100202539E-3</v>
      </c>
      <c r="H60" s="95">
        <v>-1.1512E-2</v>
      </c>
      <c r="I60" s="4"/>
      <c r="J60" s="1">
        <v>2014</v>
      </c>
      <c r="K60" s="176">
        <v>-2.1484436126918933E-2</v>
      </c>
      <c r="L60" s="94">
        <v>0.53</v>
      </c>
      <c r="M60" s="12">
        <f>'Pot.tuot ja tuotantokuilu'!J62</f>
        <v>-2.7139143236957746E-2</v>
      </c>
      <c r="N60" s="95">
        <f t="shared" si="6"/>
        <v>-1.4383745915587606E-2</v>
      </c>
      <c r="O60" s="95">
        <v>6.0776345225059644E-4</v>
      </c>
      <c r="P60" s="95">
        <f>K60-N60-O60</f>
        <v>-7.7084536635819234E-3</v>
      </c>
      <c r="Q60" s="95">
        <v>-6.6395989945867194E-3</v>
      </c>
      <c r="R60" s="4"/>
      <c r="S60" s="105">
        <f t="shared" si="0"/>
        <v>-6.7376007498550286E-4</v>
      </c>
      <c r="T60" s="52">
        <f t="shared" si="1"/>
        <v>5.8306842370342386E-4</v>
      </c>
      <c r="U60" s="52">
        <f t="shared" si="2"/>
        <v>-6.0776345225059644E-4</v>
      </c>
      <c r="V60" s="52">
        <f t="shared" si="3"/>
        <v>-6.490650464383305E-4</v>
      </c>
      <c r="W60" s="4"/>
      <c r="X60" s="92">
        <v>2014</v>
      </c>
      <c r="Y60" s="95">
        <f t="shared" si="8"/>
        <v>-2.1821316164411686E-2</v>
      </c>
      <c r="Z60" s="143">
        <f t="shared" si="9"/>
        <v>0.53</v>
      </c>
      <c r="AA60" s="95">
        <f>'Pot.tuot ja tuotantokuilu'!V62</f>
        <v>-2.6590215426380234E-2</v>
      </c>
      <c r="AB60" s="95">
        <f t="shared" si="11"/>
        <v>-1.4092814175981525E-2</v>
      </c>
      <c r="AC60" s="105">
        <f t="shared" si="10"/>
        <v>6.0776345225059644E-4</v>
      </c>
      <c r="AD60" s="105">
        <f t="shared" si="12"/>
        <v>-8.3362654406807582E-3</v>
      </c>
      <c r="AE60" s="4"/>
    </row>
    <row r="61" spans="1:31" x14ac:dyDescent="0.2">
      <c r="A61" s="1">
        <v>2015</v>
      </c>
      <c r="B61" s="58"/>
      <c r="C61" s="53"/>
      <c r="D61" s="58"/>
      <c r="E61" s="58"/>
      <c r="F61" s="58"/>
      <c r="G61" s="58"/>
      <c r="H61" s="58"/>
      <c r="I61" s="4"/>
      <c r="J61" s="1">
        <v>2015</v>
      </c>
      <c r="K61" s="176">
        <v>-1.1839263979895391E-2</v>
      </c>
      <c r="L61" s="94">
        <v>0.53</v>
      </c>
      <c r="M61" s="12">
        <f>'Pot.tuot ja tuotantokuilu'!J63</f>
        <v>-1.9770989461132087E-2</v>
      </c>
      <c r="N61" s="95">
        <f t="shared" si="6"/>
        <v>-1.0478624414400006E-2</v>
      </c>
      <c r="O61" s="95">
        <v>7.636221823751929E-4</v>
      </c>
      <c r="P61" s="95">
        <f t="shared" si="7"/>
        <v>-2.1242617478705781E-3</v>
      </c>
      <c r="Q61" s="95">
        <v>-1.0484965622967509E-3</v>
      </c>
      <c r="R61" s="4"/>
      <c r="S61" s="105">
        <f t="shared" si="0"/>
        <v>1.1839263979895391E-2</v>
      </c>
      <c r="T61" s="52">
        <f t="shared" si="1"/>
        <v>1.0478624414400006E-2</v>
      </c>
      <c r="U61" s="52">
        <f t="shared" si="2"/>
        <v>-7.636221823751929E-4</v>
      </c>
      <c r="V61" s="52">
        <f t="shared" si="3"/>
        <v>2.1242617478705781E-3</v>
      </c>
      <c r="W61" s="4"/>
      <c r="X61" s="92">
        <v>2015</v>
      </c>
      <c r="Y61" s="95">
        <f t="shared" si="8"/>
        <v>-5.9196319899476957E-3</v>
      </c>
      <c r="Z61" s="143">
        <f t="shared" si="9"/>
        <v>0</v>
      </c>
      <c r="AA61" s="95">
        <f>'Pot.tuot ja tuotantokuilu'!V63</f>
        <v>-1.8112896125631793E-2</v>
      </c>
      <c r="AB61" s="95">
        <f t="shared" si="11"/>
        <v>0</v>
      </c>
      <c r="AC61" s="105">
        <f t="shared" si="10"/>
        <v>7.636221823751929E-4</v>
      </c>
      <c r="AD61" s="105">
        <f t="shared" si="12"/>
        <v>-6.6832541723228882E-3</v>
      </c>
      <c r="AE61" s="4"/>
    </row>
    <row r="62" spans="1:31" x14ac:dyDescent="0.2">
      <c r="A62" s="1">
        <v>2016</v>
      </c>
      <c r="B62" s="92"/>
      <c r="D62" s="12"/>
      <c r="E62" s="12"/>
      <c r="F62" s="12"/>
      <c r="G62" s="12"/>
      <c r="H62" s="95"/>
      <c r="I62" s="4"/>
      <c r="J62" s="26">
        <v>2016</v>
      </c>
      <c r="K62" s="179">
        <v>-6.3443438245200587E-3</v>
      </c>
      <c r="L62" s="53">
        <v>0.53</v>
      </c>
      <c r="M62" s="58">
        <f>'Pot.tuot ja tuotantokuilu'!J64</f>
        <v>-8.277774847372325E-3</v>
      </c>
      <c r="N62" s="58">
        <f t="shared" si="6"/>
        <v>-4.3872206691073327E-3</v>
      </c>
      <c r="O62" s="58">
        <v>0</v>
      </c>
      <c r="P62" s="58">
        <f t="shared" si="7"/>
        <v>-1.9571231554127259E-3</v>
      </c>
      <c r="Q62" s="58">
        <v>-8.9425421323719671E-4</v>
      </c>
      <c r="R62" s="4"/>
      <c r="S62" s="92"/>
      <c r="T62" s="52"/>
      <c r="U62" s="52"/>
      <c r="V62" s="52"/>
      <c r="W62" s="4"/>
      <c r="X62" s="92">
        <v>2016</v>
      </c>
      <c r="AE62" s="4"/>
    </row>
    <row r="63" spans="1:31" x14ac:dyDescent="0.2">
      <c r="A63" s="97">
        <v>2017</v>
      </c>
      <c r="B63" s="97"/>
      <c r="C63" s="24"/>
      <c r="D63" s="99"/>
      <c r="E63" s="99"/>
      <c r="F63" s="99"/>
      <c r="G63" s="99"/>
      <c r="H63" s="99"/>
      <c r="I63" s="98"/>
      <c r="J63" s="97">
        <v>2017</v>
      </c>
      <c r="K63" s="176">
        <v>-1.0500833901683675E-3</v>
      </c>
      <c r="L63" s="24">
        <v>0.53</v>
      </c>
      <c r="M63" s="99">
        <f>'Pot.tuot ja tuotantokuilu'!J65</f>
        <v>-2.5267242621975034E-3</v>
      </c>
      <c r="N63" s="99">
        <f t="shared" si="6"/>
        <v>-1.3391638589646769E-3</v>
      </c>
      <c r="O63" s="99">
        <v>0</v>
      </c>
      <c r="P63" s="99">
        <f t="shared" si="7"/>
        <v>2.8908046879630943E-4</v>
      </c>
      <c r="Q63" s="99">
        <v>1.4121767069227111E-3</v>
      </c>
      <c r="R63" s="98"/>
      <c r="S63" s="97"/>
      <c r="T63" s="90"/>
      <c r="U63" s="90"/>
      <c r="V63" s="90"/>
      <c r="W63" s="98"/>
      <c r="X63" s="97">
        <v>2017</v>
      </c>
      <c r="AE63" s="4"/>
    </row>
    <row r="64" spans="1:31" s="91" customFormat="1" ht="15" thickBot="1" x14ac:dyDescent="0.25">
      <c r="A64" s="100">
        <v>2018</v>
      </c>
      <c r="B64" s="100"/>
      <c r="C64" s="101"/>
      <c r="D64" s="102"/>
      <c r="E64" s="102"/>
      <c r="F64" s="102"/>
      <c r="G64" s="102"/>
      <c r="H64" s="102"/>
      <c r="I64" s="28"/>
      <c r="J64" s="100">
        <v>2018</v>
      </c>
      <c r="K64" s="177">
        <v>1.8929668361148859E-3</v>
      </c>
      <c r="L64" s="101">
        <v>0.53</v>
      </c>
      <c r="M64" s="102">
        <f>'Pot.tuot ja tuotantokuilu'!J66</f>
        <v>-4.2760921518631578E-4</v>
      </c>
      <c r="N64" s="102">
        <f>L64*M64</f>
        <v>-2.2663288404874737E-4</v>
      </c>
      <c r="O64" s="102">
        <v>0</v>
      </c>
      <c r="P64" s="102">
        <f>K64-N64-O64</f>
        <v>2.1195997201636334E-3</v>
      </c>
      <c r="Q64" s="102">
        <v>2.7815468016389646E-3</v>
      </c>
      <c r="R64" s="28"/>
      <c r="S64" s="100"/>
      <c r="T64" s="62"/>
      <c r="U64" s="62"/>
      <c r="V64" s="62"/>
      <c r="W64" s="28"/>
      <c r="X64" s="100">
        <v>2018</v>
      </c>
      <c r="Y64" s="103"/>
      <c r="Z64" s="103"/>
      <c r="AA64" s="103"/>
      <c r="AB64" s="103"/>
      <c r="AC64" s="103"/>
      <c r="AD64" s="103"/>
      <c r="AE64" s="28"/>
    </row>
    <row r="65" spans="1:28" ht="15" thickTop="1" x14ac:dyDescent="0.2"/>
    <row r="66" spans="1:28" x14ac:dyDescent="0.2">
      <c r="A66"/>
      <c r="B66" s="91"/>
      <c r="C66" s="50"/>
      <c r="H66" s="180"/>
      <c r="L66" s="91"/>
    </row>
    <row r="67" spans="1:28" x14ac:dyDescent="0.2">
      <c r="L67" s="91"/>
    </row>
    <row r="68" spans="1:28" x14ac:dyDescent="0.2">
      <c r="A68" t="s">
        <v>67</v>
      </c>
      <c r="C68" s="92" t="s">
        <v>166</v>
      </c>
      <c r="L68" s="123"/>
      <c r="R68" s="137"/>
      <c r="Y68" s="141"/>
      <c r="Z68" s="141"/>
      <c r="AA68" s="141"/>
    </row>
    <row r="69" spans="1:28" x14ac:dyDescent="0.2">
      <c r="C69" s="92" t="s">
        <v>275</v>
      </c>
      <c r="L69" s="123"/>
      <c r="R69" s="137"/>
      <c r="Y69" s="141"/>
      <c r="Z69" s="141"/>
      <c r="AA69" s="141"/>
      <c r="AB69" s="140"/>
    </row>
    <row r="70" spans="1:28" x14ac:dyDescent="0.2">
      <c r="H70" s="140"/>
      <c r="I70" s="140"/>
      <c r="L70" s="123"/>
      <c r="R70" s="137"/>
      <c r="Y70" s="141"/>
      <c r="Z70" s="141"/>
      <c r="AA70" s="141"/>
      <c r="AB70" s="140"/>
    </row>
    <row r="71" spans="1:28" x14ac:dyDescent="0.2">
      <c r="B71" s="91"/>
      <c r="C71" s="1" t="s">
        <v>153</v>
      </c>
      <c r="I71" s="148"/>
      <c r="L71" s="123"/>
      <c r="R71" s="137"/>
      <c r="Y71" s="141"/>
      <c r="Z71" s="141"/>
      <c r="AA71" s="141"/>
      <c r="AB71" s="140"/>
    </row>
    <row r="72" spans="1:28" x14ac:dyDescent="0.2">
      <c r="A72"/>
      <c r="B72" s="91"/>
      <c r="C72" s="50"/>
      <c r="L72" s="123"/>
      <c r="R72" s="137"/>
    </row>
    <row r="73" spans="1:28" x14ac:dyDescent="0.2">
      <c r="A73"/>
      <c r="B73" s="91"/>
      <c r="C73" s="1" t="s">
        <v>154</v>
      </c>
      <c r="L73" s="123"/>
      <c r="R73" s="137"/>
    </row>
    <row r="74" spans="1:28" x14ac:dyDescent="0.2">
      <c r="A74"/>
      <c r="B74" s="91"/>
      <c r="C74" s="50"/>
      <c r="L74" s="123"/>
      <c r="R74" s="130"/>
    </row>
    <row r="75" spans="1:28" x14ac:dyDescent="0.2">
      <c r="A75"/>
      <c r="B75" s="91"/>
      <c r="C75" s="92" t="s">
        <v>165</v>
      </c>
      <c r="L75" s="123"/>
      <c r="O75" s="91"/>
      <c r="R75" s="130"/>
    </row>
    <row r="76" spans="1:28" x14ac:dyDescent="0.2">
      <c r="A76"/>
      <c r="B76" s="91"/>
      <c r="C76" s="1" t="s">
        <v>155</v>
      </c>
      <c r="L76" s="123"/>
      <c r="O76" s="91"/>
      <c r="R76" s="130"/>
    </row>
    <row r="77" spans="1:28" x14ac:dyDescent="0.2">
      <c r="A77"/>
      <c r="B77" s="91"/>
      <c r="L77" s="123"/>
      <c r="O77" s="91"/>
      <c r="R77" s="130"/>
    </row>
    <row r="78" spans="1:28" x14ac:dyDescent="0.2">
      <c r="A78" s="91" t="s">
        <v>122</v>
      </c>
      <c r="L78" s="123"/>
      <c r="O78" s="91"/>
      <c r="R78" s="130"/>
    </row>
    <row r="79" spans="1:28" x14ac:dyDescent="0.2">
      <c r="C79" s="92" t="s">
        <v>93</v>
      </c>
      <c r="L79" s="123"/>
      <c r="O79" s="91"/>
      <c r="R79" s="130"/>
    </row>
    <row r="80" spans="1:28" x14ac:dyDescent="0.2">
      <c r="C80" s="92" t="s">
        <v>161</v>
      </c>
      <c r="L80" s="123"/>
      <c r="O80" s="91"/>
      <c r="R80" s="130"/>
    </row>
    <row r="81" spans="1:18" x14ac:dyDescent="0.2">
      <c r="C81" s="92" t="s">
        <v>160</v>
      </c>
      <c r="L81" s="123"/>
      <c r="O81" s="91"/>
      <c r="R81" s="130"/>
    </row>
    <row r="82" spans="1:18" x14ac:dyDescent="0.2">
      <c r="L82" s="123"/>
      <c r="O82" s="91"/>
      <c r="R82" s="130"/>
    </row>
    <row r="83" spans="1:18" x14ac:dyDescent="0.2">
      <c r="A83" s="91" t="s">
        <v>143</v>
      </c>
      <c r="G83" s="91"/>
      <c r="H83" s="91"/>
      <c r="I83" s="79"/>
      <c r="L83" s="123"/>
      <c r="O83" s="91"/>
      <c r="R83" s="130"/>
    </row>
    <row r="84" spans="1:18" x14ac:dyDescent="0.2">
      <c r="C84" s="92" t="s">
        <v>93</v>
      </c>
      <c r="G84" s="91"/>
      <c r="H84" s="91"/>
      <c r="I84" s="79"/>
      <c r="L84" s="123"/>
      <c r="O84" s="91"/>
      <c r="R84" s="130"/>
    </row>
    <row r="85" spans="1:18" x14ac:dyDescent="0.2">
      <c r="C85" s="92" t="s">
        <v>158</v>
      </c>
      <c r="F85" s="94"/>
      <c r="G85" s="91"/>
      <c r="H85" s="91"/>
      <c r="I85" s="79"/>
      <c r="L85" s="123"/>
      <c r="O85" s="91"/>
      <c r="R85" s="130"/>
    </row>
    <row r="86" spans="1:18" x14ac:dyDescent="0.2">
      <c r="C86" s="92" t="s">
        <v>157</v>
      </c>
      <c r="F86" s="94"/>
      <c r="G86" s="91"/>
      <c r="H86" s="91"/>
      <c r="I86" s="79"/>
      <c r="L86" s="123"/>
      <c r="O86" s="91"/>
      <c r="R86" s="130"/>
    </row>
    <row r="87" spans="1:18" x14ac:dyDescent="0.2">
      <c r="F87" s="94"/>
      <c r="G87" s="91"/>
      <c r="H87" s="91"/>
      <c r="I87" s="79"/>
      <c r="L87" s="123"/>
      <c r="O87" s="91"/>
      <c r="R87" s="130"/>
    </row>
    <row r="88" spans="1:18" x14ac:dyDescent="0.2">
      <c r="F88" s="94"/>
      <c r="G88" s="91"/>
      <c r="H88" s="91"/>
      <c r="I88" s="79"/>
      <c r="L88" s="123"/>
      <c r="O88" s="91"/>
      <c r="R88" s="130"/>
    </row>
    <row r="89" spans="1:18" x14ac:dyDescent="0.2">
      <c r="F89" s="94"/>
      <c r="G89" s="91"/>
      <c r="H89" s="91"/>
      <c r="I89" s="79"/>
      <c r="L89" s="123"/>
      <c r="O89" s="91"/>
      <c r="R89" s="130"/>
    </row>
    <row r="90" spans="1:18" x14ac:dyDescent="0.2">
      <c r="F90" s="94"/>
      <c r="G90" s="91"/>
      <c r="H90" s="91"/>
      <c r="I90" s="79"/>
      <c r="L90" s="123"/>
      <c r="R90" s="137"/>
    </row>
    <row r="91" spans="1:18" x14ac:dyDescent="0.2">
      <c r="F91" s="94"/>
      <c r="G91" s="91"/>
      <c r="H91" s="91"/>
      <c r="I91" s="79"/>
      <c r="L91" s="123"/>
      <c r="R91" s="137"/>
    </row>
    <row r="92" spans="1:18" x14ac:dyDescent="0.2">
      <c r="F92" s="94"/>
      <c r="G92" s="91"/>
      <c r="H92" s="91"/>
      <c r="I92" s="79"/>
      <c r="L92" s="123"/>
      <c r="R92" s="137"/>
    </row>
    <row r="93" spans="1:18" x14ac:dyDescent="0.2">
      <c r="F93" s="94"/>
      <c r="G93" s="91"/>
      <c r="H93" s="91"/>
      <c r="I93" s="79"/>
      <c r="L93" s="123"/>
      <c r="R93" s="137"/>
    </row>
    <row r="94" spans="1:18" x14ac:dyDescent="0.2">
      <c r="F94" s="94"/>
      <c r="G94" s="91"/>
      <c r="H94" s="91"/>
      <c r="I94" s="79"/>
      <c r="L94" s="123"/>
      <c r="R94" s="137"/>
    </row>
    <row r="95" spans="1:18" x14ac:dyDescent="0.2">
      <c r="F95" s="94"/>
      <c r="G95" s="91"/>
      <c r="H95" s="91"/>
      <c r="I95" s="79"/>
      <c r="L95" s="123"/>
      <c r="R95" s="137"/>
    </row>
    <row r="96" spans="1:18" x14ac:dyDescent="0.2">
      <c r="L96" s="123"/>
      <c r="R96" s="137"/>
    </row>
    <row r="97" spans="12:18" x14ac:dyDescent="0.2">
      <c r="L97" s="123"/>
      <c r="R97" s="137"/>
    </row>
    <row r="98" spans="12:18" x14ac:dyDescent="0.2">
      <c r="L98" s="123"/>
      <c r="R98" s="137"/>
    </row>
    <row r="99" spans="12:18" x14ac:dyDescent="0.2">
      <c r="L99" s="123"/>
      <c r="R99" s="137"/>
    </row>
    <row r="100" spans="12:18" x14ac:dyDescent="0.2">
      <c r="L100" s="123"/>
      <c r="R100" s="137"/>
    </row>
    <row r="101" spans="12:18" x14ac:dyDescent="0.2">
      <c r="L101" s="123"/>
      <c r="R101" s="137"/>
    </row>
    <row r="102" spans="12:18" x14ac:dyDescent="0.2">
      <c r="L102" s="123"/>
      <c r="R102" s="137"/>
    </row>
    <row r="103" spans="12:18" x14ac:dyDescent="0.2">
      <c r="L103" s="123"/>
      <c r="R103" s="137"/>
    </row>
    <row r="104" spans="12:18" x14ac:dyDescent="0.2">
      <c r="L104" s="123"/>
      <c r="R104" s="137"/>
    </row>
    <row r="105" spans="12:18" x14ac:dyDescent="0.2">
      <c r="L105" s="123"/>
      <c r="R105" s="137"/>
    </row>
    <row r="106" spans="12:18" x14ac:dyDescent="0.2">
      <c r="R106" s="137"/>
    </row>
    <row r="107" spans="12:18" x14ac:dyDescent="0.2">
      <c r="R107" s="137"/>
    </row>
    <row r="108" spans="12:18" x14ac:dyDescent="0.2">
      <c r="R108" s="137"/>
    </row>
    <row r="109" spans="12:18" x14ac:dyDescent="0.2">
      <c r="R109" s="137"/>
    </row>
    <row r="110" spans="12:18" x14ac:dyDescent="0.2">
      <c r="R110" s="137"/>
    </row>
    <row r="111" spans="12:18" x14ac:dyDescent="0.2">
      <c r="R111" s="137"/>
    </row>
    <row r="112" spans="12:18" x14ac:dyDescent="0.2">
      <c r="R112" s="81"/>
    </row>
    <row r="113" spans="18:18" x14ac:dyDescent="0.2">
      <c r="R113" s="81"/>
    </row>
  </sheetData>
  <mergeCells count="4">
    <mergeCell ref="D1:G1"/>
    <mergeCell ref="M1:P1"/>
    <mergeCell ref="S1:V1"/>
    <mergeCell ref="X1:AD1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Y154"/>
  <sheetViews>
    <sheetView workbookViewId="0">
      <pane xSplit="1" topLeftCell="B1" activePane="topRight" state="frozen"/>
      <selection pane="topRight" sqref="A1:D1"/>
    </sheetView>
  </sheetViews>
  <sheetFormatPr defaultRowHeight="14.25" x14ac:dyDescent="0.2"/>
  <cols>
    <col min="1" max="1" width="10.875" customWidth="1"/>
    <col min="2" max="2" width="12.5" customWidth="1"/>
    <col min="3" max="4" width="14" customWidth="1"/>
    <col min="5" max="6" width="14" style="140" customWidth="1"/>
    <col min="7" max="7" width="11.875" customWidth="1"/>
    <col min="8" max="8" width="12.25" customWidth="1"/>
    <col min="9" max="9" width="13.75" customWidth="1"/>
    <col min="10" max="10" width="12.75" customWidth="1"/>
    <col min="11" max="11" width="14.375" style="140" customWidth="1"/>
    <col min="12" max="12" width="15.375" style="140" customWidth="1"/>
    <col min="13" max="13" width="11.875" customWidth="1"/>
    <col min="14" max="14" width="12.625" customWidth="1"/>
    <col min="15" max="15" width="14" customWidth="1"/>
    <col min="16" max="16" width="14.875" customWidth="1"/>
    <col min="17" max="18" width="14.875" style="140" customWidth="1"/>
    <col min="20" max="20" width="11.875" customWidth="1"/>
    <col min="21" max="21" width="14.5" customWidth="1"/>
    <col min="22" max="22" width="16.5" customWidth="1"/>
    <col min="23" max="23" width="14.5" style="140" customWidth="1"/>
    <col min="24" max="24" width="14.875" style="140" customWidth="1"/>
  </cols>
  <sheetData>
    <row r="1" spans="1:25" s="3" customFormat="1" ht="22.5" x14ac:dyDescent="0.3">
      <c r="A1" s="308" t="s">
        <v>58</v>
      </c>
      <c r="B1" s="308"/>
      <c r="C1" s="308"/>
      <c r="D1" s="308"/>
      <c r="E1" s="109"/>
      <c r="F1" s="109"/>
      <c r="H1" s="308" t="s">
        <v>59</v>
      </c>
      <c r="I1" s="308"/>
      <c r="J1" s="308"/>
      <c r="K1" s="109"/>
      <c r="L1" s="109"/>
      <c r="N1" s="308" t="s">
        <v>64</v>
      </c>
      <c r="O1" s="308"/>
      <c r="P1" s="308"/>
      <c r="Q1" s="308"/>
      <c r="R1" s="308"/>
      <c r="S1" s="308"/>
      <c r="T1" s="308" t="s">
        <v>164</v>
      </c>
      <c r="U1" s="308"/>
      <c r="V1" s="308"/>
      <c r="W1" s="308"/>
      <c r="X1" s="308"/>
    </row>
    <row r="2" spans="1:25" ht="28.5" x14ac:dyDescent="0.2">
      <c r="A2" s="3" t="s">
        <v>1</v>
      </c>
      <c r="B2" s="50" t="s">
        <v>4</v>
      </c>
      <c r="C2" s="16" t="s">
        <v>52</v>
      </c>
      <c r="D2" s="50" t="s">
        <v>53</v>
      </c>
      <c r="E2" s="94" t="s">
        <v>4</v>
      </c>
      <c r="F2" s="96" t="s">
        <v>52</v>
      </c>
      <c r="G2" s="4"/>
      <c r="H2" s="50" t="s">
        <v>4</v>
      </c>
      <c r="I2" s="16" t="s">
        <v>52</v>
      </c>
      <c r="J2" s="50" t="s">
        <v>53</v>
      </c>
      <c r="K2" s="94" t="s">
        <v>4</v>
      </c>
      <c r="L2" s="96" t="s">
        <v>52</v>
      </c>
      <c r="M2" s="4"/>
      <c r="N2" s="50" t="s">
        <v>4</v>
      </c>
      <c r="O2" s="16" t="s">
        <v>52</v>
      </c>
      <c r="P2" s="50" t="s">
        <v>53</v>
      </c>
      <c r="Q2" s="94" t="s">
        <v>4</v>
      </c>
      <c r="R2" s="96" t="s">
        <v>52</v>
      </c>
      <c r="S2" s="4"/>
      <c r="T2" s="94" t="s">
        <v>4</v>
      </c>
      <c r="U2" s="96" t="s">
        <v>52</v>
      </c>
      <c r="V2" s="94" t="s">
        <v>53</v>
      </c>
      <c r="W2" s="94" t="s">
        <v>4</v>
      </c>
      <c r="X2" s="96" t="s">
        <v>52</v>
      </c>
      <c r="Y2" s="4"/>
    </row>
    <row r="3" spans="1:25" ht="28.5" x14ac:dyDescent="0.2">
      <c r="A3" s="3" t="s">
        <v>2</v>
      </c>
      <c r="B3" s="50" t="s">
        <v>5</v>
      </c>
      <c r="C3" s="50" t="s">
        <v>5</v>
      </c>
      <c r="D3" s="16" t="s">
        <v>90</v>
      </c>
      <c r="E3" s="94" t="s">
        <v>5</v>
      </c>
      <c r="F3" s="94" t="s">
        <v>5</v>
      </c>
      <c r="G3" s="4"/>
      <c r="H3" s="50" t="s">
        <v>5</v>
      </c>
      <c r="I3" s="50" t="s">
        <v>5</v>
      </c>
      <c r="J3" s="16" t="s">
        <v>90</v>
      </c>
      <c r="K3" s="94" t="s">
        <v>5</v>
      </c>
      <c r="L3" s="94" t="s">
        <v>5</v>
      </c>
      <c r="M3" s="4"/>
      <c r="N3" s="50" t="s">
        <v>5</v>
      </c>
      <c r="O3" s="50" t="s">
        <v>5</v>
      </c>
      <c r="P3" s="50" t="s">
        <v>92</v>
      </c>
      <c r="Q3" s="94" t="s">
        <v>5</v>
      </c>
      <c r="R3" s="94" t="s">
        <v>5</v>
      </c>
      <c r="S3" s="4"/>
      <c r="T3" s="94" t="s">
        <v>5</v>
      </c>
      <c r="U3" s="94" t="s">
        <v>5</v>
      </c>
      <c r="V3" s="96" t="s">
        <v>90</v>
      </c>
      <c r="W3" s="94" t="s">
        <v>5</v>
      </c>
      <c r="X3" s="94" t="s">
        <v>5</v>
      </c>
      <c r="Y3" s="4"/>
    </row>
    <row r="4" spans="1:25" x14ac:dyDescent="0.2">
      <c r="A4" s="3" t="s">
        <v>3</v>
      </c>
      <c r="B4" s="50"/>
      <c r="C4" s="50"/>
      <c r="D4" s="50"/>
      <c r="E4" s="94" t="s">
        <v>167</v>
      </c>
      <c r="F4" s="94" t="s">
        <v>167</v>
      </c>
      <c r="G4" s="4"/>
      <c r="H4" s="50"/>
      <c r="I4" s="50"/>
      <c r="J4" s="3"/>
      <c r="K4" s="94" t="s">
        <v>167</v>
      </c>
      <c r="L4" s="94" t="s">
        <v>167</v>
      </c>
      <c r="M4" s="4"/>
      <c r="N4" s="50"/>
      <c r="O4" s="50"/>
      <c r="P4" s="50"/>
      <c r="Q4" s="94" t="s">
        <v>92</v>
      </c>
      <c r="R4" s="94" t="s">
        <v>92</v>
      </c>
      <c r="S4" s="4"/>
      <c r="T4" s="94"/>
      <c r="U4" s="94"/>
      <c r="V4" s="94"/>
      <c r="W4" s="94" t="s">
        <v>167</v>
      </c>
      <c r="X4" s="94" t="s">
        <v>167</v>
      </c>
      <c r="Y4" s="4"/>
    </row>
    <row r="5" spans="1:25" x14ac:dyDescent="0.2">
      <c r="A5" s="3" t="s">
        <v>27</v>
      </c>
      <c r="B5" s="50" t="s">
        <v>135</v>
      </c>
      <c r="C5" s="50" t="s">
        <v>56</v>
      </c>
      <c r="D5" s="50" t="s">
        <v>142</v>
      </c>
      <c r="E5" s="94"/>
      <c r="F5" s="94"/>
      <c r="G5" s="4"/>
      <c r="H5" s="50" t="s">
        <v>135</v>
      </c>
      <c r="I5" s="50" t="s">
        <v>56</v>
      </c>
      <c r="J5" s="94" t="s">
        <v>142</v>
      </c>
      <c r="K5" s="94"/>
      <c r="L5" s="94"/>
      <c r="M5" s="4"/>
      <c r="N5" s="94" t="s">
        <v>135</v>
      </c>
      <c r="O5" s="50" t="s">
        <v>56</v>
      </c>
      <c r="P5" s="50" t="s">
        <v>142</v>
      </c>
      <c r="Q5" s="94"/>
      <c r="R5" s="94"/>
      <c r="S5" s="4"/>
      <c r="T5" s="94" t="s">
        <v>135</v>
      </c>
      <c r="U5" s="94" t="s">
        <v>56</v>
      </c>
      <c r="V5" s="94" t="s">
        <v>142</v>
      </c>
      <c r="W5" s="94"/>
      <c r="X5" s="94"/>
      <c r="Y5" s="4"/>
    </row>
    <row r="6" spans="1:25" x14ac:dyDescent="0.2">
      <c r="A6" s="3"/>
      <c r="B6" s="50"/>
      <c r="C6" s="50"/>
      <c r="D6" s="50"/>
      <c r="E6" s="94"/>
      <c r="F6" s="94"/>
      <c r="G6" s="4"/>
      <c r="M6" s="4"/>
      <c r="N6" s="50"/>
      <c r="O6" s="50"/>
      <c r="P6" s="50"/>
      <c r="Q6" s="94"/>
      <c r="R6" s="94"/>
      <c r="S6" s="4"/>
      <c r="T6" s="94"/>
      <c r="U6" s="94"/>
      <c r="V6" s="94"/>
      <c r="W6" s="94"/>
      <c r="X6" s="94"/>
      <c r="Y6" s="4"/>
    </row>
    <row r="7" spans="1:25" ht="15" thickBot="1" x14ac:dyDescent="0.25">
      <c r="A7" s="32" t="s">
        <v>0</v>
      </c>
      <c r="B7" s="29"/>
      <c r="C7" s="29"/>
      <c r="D7" s="29"/>
      <c r="E7" s="101"/>
      <c r="F7" s="101"/>
      <c r="G7" s="28"/>
      <c r="H7" s="32"/>
      <c r="I7" s="32"/>
      <c r="J7" s="32"/>
      <c r="K7" s="103"/>
      <c r="L7" s="103"/>
      <c r="M7" s="28"/>
      <c r="N7" s="29"/>
      <c r="O7" s="29"/>
      <c r="P7" s="29"/>
      <c r="Q7" s="101"/>
      <c r="R7" s="101"/>
      <c r="S7" s="28"/>
      <c r="T7" s="101"/>
      <c r="U7" s="101"/>
      <c r="V7" s="101"/>
      <c r="W7" s="101"/>
      <c r="X7" s="101"/>
      <c r="Y7" s="28"/>
    </row>
    <row r="8" spans="1:25" ht="15" thickTop="1" x14ac:dyDescent="0.2">
      <c r="A8" s="1">
        <v>1960</v>
      </c>
      <c r="B8" s="15">
        <f>Kokonaistuottavuus!B9</f>
        <v>35.482613069999999</v>
      </c>
      <c r="C8" s="50"/>
      <c r="D8" s="50"/>
      <c r="E8" s="94"/>
      <c r="F8" s="94"/>
      <c r="G8" s="4"/>
      <c r="H8" s="15">
        <f>Kokonaistuottavuus!J9</f>
        <v>35.482613069999999</v>
      </c>
      <c r="I8" s="15"/>
      <c r="M8" s="4"/>
      <c r="N8" s="50"/>
      <c r="O8" s="50"/>
      <c r="P8" s="50"/>
      <c r="Q8" s="94"/>
      <c r="R8" s="94"/>
      <c r="S8" s="4"/>
      <c r="Y8" s="4"/>
    </row>
    <row r="9" spans="1:25" x14ac:dyDescent="0.2">
      <c r="A9" s="1">
        <v>1961</v>
      </c>
      <c r="B9" s="15">
        <f>Kokonaistuottavuus!B10</f>
        <v>38.180947330000002</v>
      </c>
      <c r="C9" s="50"/>
      <c r="D9" s="50"/>
      <c r="E9" s="94"/>
      <c r="F9" s="94"/>
      <c r="G9" s="4"/>
      <c r="H9" s="15">
        <f>Kokonaistuottavuus!J10</f>
        <v>38.180947330000002</v>
      </c>
      <c r="I9" s="15"/>
      <c r="M9" s="4"/>
      <c r="N9" s="50"/>
      <c r="O9" s="50"/>
      <c r="P9" s="50"/>
      <c r="Q9" s="94"/>
      <c r="R9" s="94"/>
      <c r="S9" s="4"/>
      <c r="Y9" s="4"/>
    </row>
    <row r="10" spans="1:25" x14ac:dyDescent="0.2">
      <c r="A10" s="1">
        <v>1962</v>
      </c>
      <c r="B10" s="15">
        <f>Kokonaistuottavuus!B11</f>
        <v>39.319484109999998</v>
      </c>
      <c r="C10" s="50"/>
      <c r="D10" s="50"/>
      <c r="E10" s="94"/>
      <c r="F10" s="94"/>
      <c r="G10" s="4"/>
      <c r="H10" s="15">
        <f>Kokonaistuottavuus!J11</f>
        <v>39.319484109999998</v>
      </c>
      <c r="I10" s="15"/>
      <c r="M10" s="4"/>
      <c r="N10" s="50"/>
      <c r="O10" s="50"/>
      <c r="P10" s="50"/>
      <c r="Q10" s="94"/>
      <c r="R10" s="94"/>
      <c r="S10" s="4"/>
      <c r="Y10" s="4"/>
    </row>
    <row r="11" spans="1:25" x14ac:dyDescent="0.2">
      <c r="A11" s="1">
        <v>1963</v>
      </c>
      <c r="B11" s="15">
        <f>Kokonaistuottavuus!B12</f>
        <v>40.611168460000002</v>
      </c>
      <c r="C11" s="50"/>
      <c r="D11" s="50"/>
      <c r="E11" s="94"/>
      <c r="F11" s="94"/>
      <c r="G11" s="4"/>
      <c r="H11" s="15">
        <f>Kokonaistuottavuus!J12</f>
        <v>40.611168460000002</v>
      </c>
      <c r="I11" s="15"/>
      <c r="M11" s="4"/>
      <c r="N11" s="50"/>
      <c r="O11" s="50"/>
      <c r="P11" s="50"/>
      <c r="Q11" s="94"/>
      <c r="R11" s="94"/>
      <c r="S11" s="4"/>
      <c r="Y11" s="4"/>
    </row>
    <row r="12" spans="1:25" x14ac:dyDescent="0.2">
      <c r="A12" s="1">
        <v>1964</v>
      </c>
      <c r="B12" s="15">
        <f>Kokonaistuottavuus!B13</f>
        <v>42.738660899999999</v>
      </c>
      <c r="C12" s="50"/>
      <c r="D12" s="50"/>
      <c r="E12" s="94"/>
      <c r="F12" s="94"/>
      <c r="G12" s="4"/>
      <c r="H12" s="15">
        <f>Kokonaistuottavuus!J13</f>
        <v>42.738660899999999</v>
      </c>
      <c r="I12" s="15"/>
      <c r="M12" s="4"/>
      <c r="N12" s="50"/>
      <c r="O12" s="50"/>
      <c r="P12" s="50"/>
      <c r="Q12" s="94"/>
      <c r="R12" s="94"/>
      <c r="S12" s="4"/>
      <c r="Y12" s="4"/>
    </row>
    <row r="13" spans="1:25" x14ac:dyDescent="0.2">
      <c r="A13" s="1">
        <v>1965</v>
      </c>
      <c r="B13" s="15">
        <f>Kokonaistuottavuus!B14</f>
        <v>45.005035110000001</v>
      </c>
      <c r="C13" s="91"/>
      <c r="D13" s="12"/>
      <c r="E13" s="95"/>
      <c r="F13" s="95"/>
      <c r="G13" s="11"/>
      <c r="H13" s="15">
        <f>Kokonaistuottavuus!J14</f>
        <v>45.005035110000001</v>
      </c>
      <c r="I13" s="15"/>
      <c r="M13" s="4"/>
      <c r="N13" s="50"/>
      <c r="O13" s="50"/>
      <c r="P13" s="50"/>
      <c r="Q13" s="94"/>
      <c r="R13" s="94"/>
      <c r="S13" s="4"/>
      <c r="Y13" s="4"/>
    </row>
    <row r="14" spans="1:25" x14ac:dyDescent="0.2">
      <c r="A14" s="1">
        <v>1966</v>
      </c>
      <c r="B14" s="15">
        <f>Kokonaistuottavuus!B15</f>
        <v>46.072872259999997</v>
      </c>
      <c r="C14" s="91"/>
      <c r="D14" s="12"/>
      <c r="E14" s="95"/>
      <c r="F14" s="95"/>
      <c r="G14" s="11"/>
      <c r="H14" s="15">
        <f>Kokonaistuottavuus!J15</f>
        <v>46.072872259999997</v>
      </c>
      <c r="I14" s="15"/>
      <c r="M14" s="4"/>
      <c r="N14" s="50"/>
      <c r="O14" s="50"/>
      <c r="P14" s="50"/>
      <c r="Q14" s="94"/>
      <c r="R14" s="94"/>
      <c r="S14" s="4"/>
      <c r="Y14" s="4"/>
    </row>
    <row r="15" spans="1:25" ht="15" x14ac:dyDescent="0.25">
      <c r="A15" s="1">
        <v>1967</v>
      </c>
      <c r="B15" s="15">
        <f>Kokonaistuottavuus!B16</f>
        <v>47.072107690000003</v>
      </c>
      <c r="C15" s="55">
        <f>EXP(Kokonaistuottavuus!H16)*Pääoma!B15^0.35*Työvoimapanos!K15^0.65</f>
        <v>49.404067911873092</v>
      </c>
      <c r="D15" s="12">
        <f>(B15-C15)/C15</f>
        <v>-4.7201785610707939E-2</v>
      </c>
      <c r="E15" s="95"/>
      <c r="F15" s="95"/>
      <c r="G15" s="11"/>
      <c r="H15" s="15">
        <f>Kokonaistuottavuus!J16</f>
        <v>47.072107690000003</v>
      </c>
      <c r="I15" s="55">
        <f>EXP(Kokonaistuottavuus!P16)*Pääoma!F15^0.35*Työvoimapanos!V15^0.65</f>
        <v>49.402900949346538</v>
      </c>
      <c r="J15" s="12">
        <f t="shared" ref="J15:J46" si="0">(H15-I15)/I15</f>
        <v>-4.717927924387131E-2</v>
      </c>
      <c r="K15" s="95"/>
      <c r="L15" s="95"/>
      <c r="M15" s="4"/>
      <c r="N15" s="12">
        <f t="shared" ref="N15:N46" si="1">(B15-H15)/H15</f>
        <v>0</v>
      </c>
      <c r="O15" s="12">
        <f t="shared" ref="O15:O46" si="2">(C15-I15)/I15</f>
        <v>2.3621336078027454E-5</v>
      </c>
      <c r="P15" s="12">
        <f t="shared" ref="P15:P46" si="3">(D15-J15)</f>
        <v>-2.2506366836629044E-5</v>
      </c>
      <c r="Q15" s="95"/>
      <c r="R15" s="95"/>
      <c r="S15" s="4"/>
      <c r="Y15" s="4"/>
    </row>
    <row r="16" spans="1:25" ht="15" x14ac:dyDescent="0.25">
      <c r="A16" s="1">
        <v>1968</v>
      </c>
      <c r="B16" s="15">
        <f>Kokonaistuottavuus!B17</f>
        <v>48.156308549999999</v>
      </c>
      <c r="C16" s="55">
        <f>EXP(Kokonaistuottavuus!H17)*Pääoma!B16^0.35*Työvoimapanos!K16^0.65</f>
        <v>51.536939049170833</v>
      </c>
      <c r="D16" s="12">
        <f t="shared" ref="D16:D65" si="4">(B16-C16)/C16</f>
        <v>-6.559626088668967E-2</v>
      </c>
      <c r="E16" s="95">
        <f>(B16-B15)/B15</f>
        <v>2.3032766391939644E-2</v>
      </c>
      <c r="F16" s="95">
        <f>(C16-C15)/C15</f>
        <v>4.3171974038703723E-2</v>
      </c>
      <c r="G16" s="11"/>
      <c r="H16" s="15">
        <f>Kokonaistuottavuus!J17</f>
        <v>48.156308549999999</v>
      </c>
      <c r="I16" s="55">
        <f>EXP(Kokonaistuottavuus!P17)*Pääoma!F16^0.35*Työvoimapanos!V16^0.65</f>
        <v>51.534725723996502</v>
      </c>
      <c r="J16" s="12">
        <f t="shared" si="0"/>
        <v>-6.5556129901422677E-2</v>
      </c>
      <c r="K16" s="95">
        <f>(H16-H15)/H15</f>
        <v>2.3032766391939644E-2</v>
      </c>
      <c r="L16" s="95">
        <f>(I16-I15)/I15</f>
        <v>4.3151813632072988E-2</v>
      </c>
      <c r="M16" s="4"/>
      <c r="N16" s="12">
        <f t="shared" si="1"/>
        <v>0</v>
      </c>
      <c r="O16" s="12">
        <f t="shared" si="2"/>
        <v>4.2948228466085591E-5</v>
      </c>
      <c r="P16" s="12">
        <f t="shared" si="3"/>
        <v>-4.0130985266992325E-5</v>
      </c>
      <c r="Q16" s="95">
        <f t="shared" ref="Q16:Q47" si="5">E16-K16</f>
        <v>0</v>
      </c>
      <c r="R16" s="95">
        <f t="shared" ref="R16:R47" si="6">F16-L16</f>
        <v>2.0160406630734262E-5</v>
      </c>
      <c r="S16" s="4"/>
      <c r="Y16" s="4"/>
    </row>
    <row r="17" spans="1:25" ht="15" x14ac:dyDescent="0.25">
      <c r="A17" s="1">
        <v>1969</v>
      </c>
      <c r="B17" s="15">
        <f>Kokonaistuottavuus!B18</f>
        <v>52.776120310000003</v>
      </c>
      <c r="C17" s="55">
        <f>EXP(Kokonaistuottavuus!H18)*Pääoma!B17^0.35*Työvoimapanos!K17^0.65</f>
        <v>53.82057428943336</v>
      </c>
      <c r="D17" s="12">
        <f t="shared" si="4"/>
        <v>-1.9406221379514619E-2</v>
      </c>
      <c r="E17" s="95">
        <f t="shared" ref="E17:E65" si="7">(B17-B16)/B16</f>
        <v>9.5933677208736232E-2</v>
      </c>
      <c r="F17" s="95">
        <f t="shared" ref="F17:F65" si="8">(C17-C16)/C16</f>
        <v>4.4310649456377978E-2</v>
      </c>
      <c r="G17" s="11"/>
      <c r="H17" s="15">
        <f>Kokonaistuottavuus!J18</f>
        <v>52.776120310000003</v>
      </c>
      <c r="I17" s="55">
        <f>EXP(Kokonaistuottavuus!P18)*Pääoma!F17^0.35*Työvoimapanos!V17^0.65</f>
        <v>53.809197567125999</v>
      </c>
      <c r="J17" s="12">
        <f t="shared" si="0"/>
        <v>-1.9198897285863638E-2</v>
      </c>
      <c r="K17" s="95">
        <f t="shared" ref="K17:K65" si="9">(H17-H16)/H16</f>
        <v>9.5933677208736232E-2</v>
      </c>
      <c r="L17" s="95">
        <f t="shared" ref="L17:L65" si="10">(I17-I16)/I16</f>
        <v>4.413474237373146E-2</v>
      </c>
      <c r="M17" s="4"/>
      <c r="N17" s="12">
        <f t="shared" si="1"/>
        <v>0</v>
      </c>
      <c r="O17" s="12">
        <f t="shared" si="2"/>
        <v>2.1142709465549287E-4</v>
      </c>
      <c r="P17" s="12">
        <f t="shared" si="3"/>
        <v>-2.0732409365098112E-4</v>
      </c>
      <c r="Q17" s="95">
        <f t="shared" si="5"/>
        <v>0</v>
      </c>
      <c r="R17" s="95">
        <f t="shared" si="6"/>
        <v>1.7590708264651755E-4</v>
      </c>
      <c r="S17" s="4"/>
      <c r="Y17" s="4"/>
    </row>
    <row r="18" spans="1:25" ht="15" x14ac:dyDescent="0.25">
      <c r="A18" s="1">
        <v>1970</v>
      </c>
      <c r="B18" s="15">
        <f>Kokonaistuottavuus!B19</f>
        <v>56.718726109999999</v>
      </c>
      <c r="C18" s="55">
        <f>EXP(Kokonaistuottavuus!H19)*Pääoma!B18^0.35*Työvoimapanos!K18^0.65</f>
        <v>56.203800871706569</v>
      </c>
      <c r="D18" s="12">
        <f t="shared" si="4"/>
        <v>9.1617511681962895E-3</v>
      </c>
      <c r="E18" s="95">
        <f t="shared" si="7"/>
        <v>7.470435069576252E-2</v>
      </c>
      <c r="F18" s="95">
        <f t="shared" si="8"/>
        <v>4.4280957863006502E-2</v>
      </c>
      <c r="G18" s="11"/>
      <c r="H18" s="15">
        <f>Kokonaistuottavuus!J19</f>
        <v>56.718726109999999</v>
      </c>
      <c r="I18" s="55">
        <f>EXP(Kokonaistuottavuus!P19)*Pääoma!F18^0.35*Työvoimapanos!V18^0.65</f>
        <v>56.185295624942306</v>
      </c>
      <c r="J18" s="12">
        <f t="shared" si="0"/>
        <v>9.4941297206753011E-3</v>
      </c>
      <c r="K18" s="95">
        <f t="shared" si="9"/>
        <v>7.470435069576252E-2</v>
      </c>
      <c r="L18" s="95">
        <f t="shared" si="10"/>
        <v>4.4157842250893406E-2</v>
      </c>
      <c r="M18" s="4"/>
      <c r="N18" s="12">
        <f t="shared" si="1"/>
        <v>0</v>
      </c>
      <c r="O18" s="12">
        <f t="shared" si="2"/>
        <v>3.2936102868965663E-4</v>
      </c>
      <c r="P18" s="12">
        <f t="shared" si="3"/>
        <v>-3.3237855247901169E-4</v>
      </c>
      <c r="Q18" s="95">
        <f t="shared" si="5"/>
        <v>0</v>
      </c>
      <c r="R18" s="95">
        <f t="shared" si="6"/>
        <v>1.2311561211309635E-4</v>
      </c>
      <c r="S18" s="4"/>
      <c r="Y18" s="4"/>
    </row>
    <row r="19" spans="1:25" ht="15" x14ac:dyDescent="0.25">
      <c r="A19" s="1">
        <v>1971</v>
      </c>
      <c r="B19" s="15">
        <f>Kokonaistuottavuus!B20</f>
        <v>58.055549759999998</v>
      </c>
      <c r="C19" s="55">
        <f>EXP(Kokonaistuottavuus!H20)*Pääoma!B19^0.35*Työvoimapanos!K19^0.65</f>
        <v>58.788266781829357</v>
      </c>
      <c r="D19" s="12">
        <f t="shared" si="4"/>
        <v>-1.246366089594993E-2</v>
      </c>
      <c r="E19" s="95">
        <f t="shared" si="7"/>
        <v>2.3569352516968924E-2</v>
      </c>
      <c r="F19" s="95">
        <f t="shared" si="8"/>
        <v>4.5983827962493333E-2</v>
      </c>
      <c r="G19" s="11"/>
      <c r="H19" s="15">
        <f>Kokonaistuottavuus!J20</f>
        <v>58.055549759999998</v>
      </c>
      <c r="I19" s="55">
        <f>EXP(Kokonaistuottavuus!P20)*Pääoma!F19^0.35*Työvoimapanos!V19^0.65</f>
        <v>58.769934925590633</v>
      </c>
      <c r="J19" s="12">
        <f t="shared" si="0"/>
        <v>-1.2155622879200509E-2</v>
      </c>
      <c r="K19" s="95">
        <f t="shared" si="9"/>
        <v>2.3569352516968924E-2</v>
      </c>
      <c r="L19" s="95">
        <f t="shared" si="10"/>
        <v>4.6002059291487103E-2</v>
      </c>
      <c r="M19" s="4"/>
      <c r="N19" s="12">
        <f t="shared" si="1"/>
        <v>0</v>
      </c>
      <c r="O19" s="12">
        <f t="shared" si="2"/>
        <v>3.1192575356658875E-4</v>
      </c>
      <c r="P19" s="12">
        <f t="shared" si="3"/>
        <v>-3.0803801674942136E-4</v>
      </c>
      <c r="Q19" s="95">
        <f t="shared" si="5"/>
        <v>0</v>
      </c>
      <c r="R19" s="95">
        <f t="shared" si="6"/>
        <v>-1.8231328993770224E-5</v>
      </c>
      <c r="S19" s="4"/>
      <c r="Y19" s="4"/>
    </row>
    <row r="20" spans="1:25" ht="15" x14ac:dyDescent="0.25">
      <c r="A20" s="1">
        <v>1972</v>
      </c>
      <c r="B20" s="15">
        <f>Kokonaistuottavuus!B21</f>
        <v>62.546424739999999</v>
      </c>
      <c r="C20" s="55">
        <f>EXP(Kokonaistuottavuus!H21)*Pääoma!B20^0.35*Työvoimapanos!K20^0.65</f>
        <v>61.68553656426797</v>
      </c>
      <c r="D20" s="12">
        <f t="shared" si="4"/>
        <v>1.3956078258881646E-2</v>
      </c>
      <c r="E20" s="95">
        <f t="shared" si="7"/>
        <v>7.7354792066652564E-2</v>
      </c>
      <c r="F20" s="95">
        <f t="shared" si="8"/>
        <v>4.9283129798514819E-2</v>
      </c>
      <c r="G20" s="11"/>
      <c r="H20" s="15">
        <f>Kokonaistuottavuus!J21</f>
        <v>62.546424739999999</v>
      </c>
      <c r="I20" s="55">
        <f>EXP(Kokonaistuottavuus!P21)*Pääoma!F20^0.35*Työvoimapanos!V20^0.65</f>
        <v>61.66775938791325</v>
      </c>
      <c r="J20" s="12">
        <f t="shared" si="0"/>
        <v>1.4248374852726779E-2</v>
      </c>
      <c r="K20" s="95">
        <f t="shared" si="9"/>
        <v>7.7354792066652564E-2</v>
      </c>
      <c r="L20" s="95">
        <f t="shared" si="10"/>
        <v>4.9307940633107561E-2</v>
      </c>
      <c r="M20" s="4"/>
      <c r="N20" s="12">
        <f t="shared" si="1"/>
        <v>0</v>
      </c>
      <c r="O20" s="12">
        <f t="shared" si="2"/>
        <v>2.8827342733331345E-4</v>
      </c>
      <c r="P20" s="12">
        <f t="shared" si="3"/>
        <v>-2.9229659384513371E-4</v>
      </c>
      <c r="Q20" s="95">
        <f t="shared" si="5"/>
        <v>0</v>
      </c>
      <c r="R20" s="95">
        <f t="shared" si="6"/>
        <v>-2.4810834592742248E-5</v>
      </c>
      <c r="S20" s="4"/>
      <c r="Y20" s="4"/>
    </row>
    <row r="21" spans="1:25" ht="15" x14ac:dyDescent="0.25">
      <c r="A21" s="1">
        <v>1973</v>
      </c>
      <c r="B21" s="15">
        <f>Kokonaistuottavuus!B22</f>
        <v>66.914554300000006</v>
      </c>
      <c r="C21" s="55">
        <f>EXP(Kokonaistuottavuus!H22)*Pääoma!B21^0.35*Työvoimapanos!K21^0.65</f>
        <v>64.690886103698546</v>
      </c>
      <c r="D21" s="12">
        <f t="shared" si="4"/>
        <v>3.4373747682740853E-2</v>
      </c>
      <c r="E21" s="95">
        <f t="shared" si="7"/>
        <v>6.9838197437470467E-2</v>
      </c>
      <c r="F21" s="95">
        <f t="shared" si="8"/>
        <v>4.8720489547811725E-2</v>
      </c>
      <c r="G21" s="11"/>
      <c r="H21" s="15">
        <f>Kokonaistuottavuus!J22</f>
        <v>66.914554300000006</v>
      </c>
      <c r="I21" s="55">
        <f>EXP(Kokonaistuottavuus!P22)*Pääoma!F21^0.35*Työvoimapanos!V21^0.65</f>
        <v>64.671810156037395</v>
      </c>
      <c r="J21" s="12">
        <f t="shared" si="0"/>
        <v>3.4678852169924008E-2</v>
      </c>
      <c r="K21" s="95">
        <f t="shared" si="9"/>
        <v>6.9838197437470467E-2</v>
      </c>
      <c r="L21" s="95">
        <f t="shared" si="10"/>
        <v>4.8713473587187486E-2</v>
      </c>
      <c r="M21" s="4"/>
      <c r="N21" s="12">
        <f t="shared" si="1"/>
        <v>0</v>
      </c>
      <c r="O21" s="12">
        <f t="shared" si="2"/>
        <v>2.9496542025226691E-4</v>
      </c>
      <c r="P21" s="12">
        <f t="shared" si="3"/>
        <v>-3.0510448718315542E-4</v>
      </c>
      <c r="Q21" s="95">
        <f t="shared" si="5"/>
        <v>0</v>
      </c>
      <c r="R21" s="95">
        <f t="shared" si="6"/>
        <v>7.0159606242389816E-6</v>
      </c>
      <c r="S21" s="4"/>
      <c r="Y21" s="4"/>
    </row>
    <row r="22" spans="1:25" ht="15" x14ac:dyDescent="0.25">
      <c r="A22" s="1">
        <v>1974</v>
      </c>
      <c r="B22" s="15">
        <f>Kokonaistuottavuus!B23</f>
        <v>69.080273309999995</v>
      </c>
      <c r="C22" s="55">
        <f>EXP(Kokonaistuottavuus!H23)*Pääoma!B22^0.35*Työvoimapanos!K22^0.65</f>
        <v>67.687743758544002</v>
      </c>
      <c r="D22" s="12">
        <f t="shared" si="4"/>
        <v>2.0572846340150303E-2</v>
      </c>
      <c r="E22" s="95">
        <f t="shared" si="7"/>
        <v>3.2365440264166705E-2</v>
      </c>
      <c r="F22" s="95">
        <f t="shared" si="8"/>
        <v>4.6325809327167622E-2</v>
      </c>
      <c r="G22" s="11"/>
      <c r="H22" s="15">
        <f>Kokonaistuottavuus!J23</f>
        <v>69.080273309999995</v>
      </c>
      <c r="I22" s="55">
        <f>EXP(Kokonaistuottavuus!P23)*Pääoma!F22^0.35*Työvoimapanos!V22^0.65</f>
        <v>67.665298921007789</v>
      </c>
      <c r="J22" s="12">
        <f t="shared" si="0"/>
        <v>2.0911374242860319E-2</v>
      </c>
      <c r="K22" s="95">
        <f t="shared" si="9"/>
        <v>3.2365440264166705E-2</v>
      </c>
      <c r="L22" s="95">
        <f t="shared" si="10"/>
        <v>4.6287381747129569E-2</v>
      </c>
      <c r="M22" s="4"/>
      <c r="N22" s="12">
        <f t="shared" si="1"/>
        <v>0</v>
      </c>
      <c r="O22" s="12">
        <f t="shared" si="2"/>
        <v>3.3170381117232596E-4</v>
      </c>
      <c r="P22" s="12">
        <f t="shared" si="3"/>
        <v>-3.3852790271001604E-4</v>
      </c>
      <c r="Q22" s="95">
        <f t="shared" si="5"/>
        <v>0</v>
      </c>
      <c r="R22" s="95">
        <f t="shared" si="6"/>
        <v>3.8427580038052911E-5</v>
      </c>
      <c r="S22" s="4"/>
      <c r="Y22" s="4"/>
    </row>
    <row r="23" spans="1:25" ht="15" x14ac:dyDescent="0.25">
      <c r="A23" s="1">
        <v>1975</v>
      </c>
      <c r="B23" s="15">
        <f>Kokonaistuottavuus!B24</f>
        <v>71.368290000000002</v>
      </c>
      <c r="C23" s="55">
        <f>EXP(Kokonaistuottavuus!H24)*Pääoma!B23^0.35*Työvoimapanos!K23^0.65</f>
        <v>70.63572267750142</v>
      </c>
      <c r="D23" s="12">
        <f t="shared" si="4"/>
        <v>1.0371060063237892E-2</v>
      </c>
      <c r="E23" s="95">
        <f t="shared" si="7"/>
        <v>3.312112967087516E-2</v>
      </c>
      <c r="F23" s="95">
        <f t="shared" si="8"/>
        <v>4.3552624969646798E-2</v>
      </c>
      <c r="G23" s="11"/>
      <c r="H23" s="15">
        <f>Kokonaistuottavuus!J24</f>
        <v>71.368008423020356</v>
      </c>
      <c r="I23" s="55">
        <f>EXP(Kokonaistuottavuus!P24)*Pääoma!F23^0.35*Työvoimapanos!V23^0.65</f>
        <v>70.618197592660735</v>
      </c>
      <c r="J23" s="12">
        <f t="shared" si="0"/>
        <v>1.0617813197168716E-2</v>
      </c>
      <c r="K23" s="95">
        <f t="shared" si="9"/>
        <v>3.311705358712283E-2</v>
      </c>
      <c r="L23" s="95">
        <f t="shared" si="10"/>
        <v>4.3639778715825209E-2</v>
      </c>
      <c r="M23" s="4"/>
      <c r="N23" s="12">
        <f t="shared" si="1"/>
        <v>3.9454229684622587E-6</v>
      </c>
      <c r="O23" s="12">
        <f t="shared" si="2"/>
        <v>2.4816669694365114E-4</v>
      </c>
      <c r="P23" s="12">
        <f t="shared" si="3"/>
        <v>-2.4675313393082363E-4</v>
      </c>
      <c r="Q23" s="95">
        <f t="shared" si="5"/>
        <v>4.0760837523301507E-6</v>
      </c>
      <c r="R23" s="95">
        <f t="shared" si="6"/>
        <v>-8.7153746178410263E-5</v>
      </c>
      <c r="S23" s="4"/>
      <c r="Y23" s="4"/>
    </row>
    <row r="24" spans="1:25" ht="15" x14ac:dyDescent="0.25">
      <c r="A24" s="1">
        <v>1976</v>
      </c>
      <c r="B24" s="15">
        <f>Kokonaistuottavuus!B25</f>
        <v>71.614069999999998</v>
      </c>
      <c r="C24" s="55">
        <f>EXP(Kokonaistuottavuus!H25)*Pääoma!B24^0.35*Työvoimapanos!K24^0.65</f>
        <v>73.261664745713475</v>
      </c>
      <c r="D24" s="12">
        <f t="shared" si="4"/>
        <v>-2.2489179729018878E-2</v>
      </c>
      <c r="E24" s="95">
        <f t="shared" si="7"/>
        <v>3.4438263828374806E-3</v>
      </c>
      <c r="F24" s="95">
        <f t="shared" si="8"/>
        <v>3.7175836371083924E-2</v>
      </c>
      <c r="G24" s="11"/>
      <c r="H24" s="15">
        <f>Kokonaistuottavuus!J25</f>
        <v>71.61358924543724</v>
      </c>
      <c r="I24" s="55">
        <f>EXP(Kokonaistuottavuus!P25)*Pääoma!F24^0.35*Työvoimapanos!V24^0.65</f>
        <v>73.251523079879718</v>
      </c>
      <c r="J24" s="12">
        <f t="shared" si="0"/>
        <v>-2.2360406522282616E-2</v>
      </c>
      <c r="K24" s="95">
        <f t="shared" si="9"/>
        <v>3.4410491177118124E-3</v>
      </c>
      <c r="L24" s="95">
        <f t="shared" si="10"/>
        <v>3.7289616231902543E-2</v>
      </c>
      <c r="M24" s="4"/>
      <c r="N24" s="12">
        <f t="shared" si="1"/>
        <v>6.7131750806522346E-6</v>
      </c>
      <c r="O24" s="12">
        <f t="shared" si="2"/>
        <v>1.3844989711268713E-4</v>
      </c>
      <c r="P24" s="12">
        <f t="shared" si="3"/>
        <v>-1.2877320673626222E-4</v>
      </c>
      <c r="Q24" s="95">
        <f t="shared" si="5"/>
        <v>2.7772651256681956E-6</v>
      </c>
      <c r="R24" s="95">
        <f t="shared" si="6"/>
        <v>-1.1377986081861913E-4</v>
      </c>
      <c r="S24" s="4"/>
      <c r="Y24" s="4"/>
    </row>
    <row r="25" spans="1:25" ht="15" x14ac:dyDescent="0.25">
      <c r="A25" s="1">
        <v>1977</v>
      </c>
      <c r="B25" s="15">
        <f>Kokonaistuottavuus!B26</f>
        <v>71.785589999999999</v>
      </c>
      <c r="C25" s="55">
        <f>EXP(Kokonaistuottavuus!H26)*Pääoma!B25^0.35*Työvoimapanos!K25^0.65</f>
        <v>75.703682176796704</v>
      </c>
      <c r="D25" s="12">
        <f t="shared" si="4"/>
        <v>-5.1755635447777552E-2</v>
      </c>
      <c r="E25" s="95">
        <f t="shared" si="7"/>
        <v>2.3950600768815541E-3</v>
      </c>
      <c r="F25" s="95">
        <f t="shared" si="8"/>
        <v>3.3332813819605588E-2</v>
      </c>
      <c r="G25" s="11"/>
      <c r="H25" s="15">
        <f>Kokonaistuottavuus!J26</f>
        <v>71.7851538215169</v>
      </c>
      <c r="I25" s="55">
        <f>EXP(Kokonaistuottavuus!P26)*Pääoma!F25^0.35*Työvoimapanos!V25^0.65</f>
        <v>75.710107795904975</v>
      </c>
      <c r="J25" s="12">
        <f t="shared" si="0"/>
        <v>-5.1841875393557009E-2</v>
      </c>
      <c r="K25" s="95">
        <f t="shared" si="9"/>
        <v>2.3956986081463787E-3</v>
      </c>
      <c r="L25" s="95">
        <f t="shared" si="10"/>
        <v>3.356359857998046E-2</v>
      </c>
      <c r="M25" s="4"/>
      <c r="N25" s="12">
        <f t="shared" si="1"/>
        <v>6.0761656119531749E-6</v>
      </c>
      <c r="O25" s="12">
        <f t="shared" si="2"/>
        <v>-8.4871350673444731E-5</v>
      </c>
      <c r="P25" s="12">
        <f t="shared" si="3"/>
        <v>8.6239945779456595E-5</v>
      </c>
      <c r="Q25" s="95">
        <f t="shared" si="5"/>
        <v>-6.3853126482452116E-7</v>
      </c>
      <c r="R25" s="95">
        <f t="shared" si="6"/>
        <v>-2.3078476037487194E-4</v>
      </c>
      <c r="S25" s="4"/>
      <c r="Y25" s="4"/>
    </row>
    <row r="26" spans="1:25" ht="15" x14ac:dyDescent="0.25">
      <c r="A26" s="1">
        <v>1978</v>
      </c>
      <c r="B26" s="15">
        <f>Kokonaistuottavuus!B27</f>
        <v>73.881519999999995</v>
      </c>
      <c r="C26" s="55">
        <f>EXP(Kokonaistuottavuus!H27)*Pääoma!B26^0.35*Työvoimapanos!K26^0.65</f>
        <v>78.009099029599156</v>
      </c>
      <c r="D26" s="12">
        <f t="shared" si="4"/>
        <v>-5.2911507515719741E-2</v>
      </c>
      <c r="E26" s="95">
        <f t="shared" si="7"/>
        <v>2.9197085376048253E-2</v>
      </c>
      <c r="F26" s="95">
        <f t="shared" si="8"/>
        <v>3.0453166695622973E-2</v>
      </c>
      <c r="G26" s="11"/>
      <c r="H26" s="15">
        <f>Kokonaistuottavuus!J27</f>
        <v>73.881140802364328</v>
      </c>
      <c r="I26" s="55">
        <f>EXP(Kokonaistuottavuus!P27)*Pääoma!F26^0.35*Työvoimapanos!V26^0.65</f>
        <v>78.034997444967189</v>
      </c>
      <c r="J26" s="12">
        <f t="shared" si="0"/>
        <v>-5.3230688519369726E-2</v>
      </c>
      <c r="K26" s="95">
        <f t="shared" si="9"/>
        <v>2.9198056551620517E-2</v>
      </c>
      <c r="L26" s="95">
        <f t="shared" si="10"/>
        <v>3.070778416178617E-2</v>
      </c>
      <c r="M26" s="4"/>
      <c r="N26" s="12">
        <f t="shared" si="1"/>
        <v>5.1325362812277157E-6</v>
      </c>
      <c r="O26" s="12">
        <f t="shared" si="2"/>
        <v>-3.3188205569299159E-4</v>
      </c>
      <c r="P26" s="12">
        <f t="shared" si="3"/>
        <v>3.1918100364998481E-4</v>
      </c>
      <c r="Q26" s="95">
        <f t="shared" si="5"/>
        <v>-9.7117557226397699E-7</v>
      </c>
      <c r="R26" s="95">
        <f t="shared" si="6"/>
        <v>-2.5461746616319697E-4</v>
      </c>
      <c r="S26" s="4"/>
      <c r="Y26" s="4"/>
    </row>
    <row r="27" spans="1:25" ht="15" x14ac:dyDescent="0.25">
      <c r="A27" s="1">
        <v>1979</v>
      </c>
      <c r="B27" s="15">
        <f>Kokonaistuottavuus!B28</f>
        <v>79.14331</v>
      </c>
      <c r="C27" s="55">
        <f>EXP(Kokonaistuottavuus!H28)*Pääoma!B27^0.35*Työvoimapanos!K27^0.65</f>
        <v>80.580715605609015</v>
      </c>
      <c r="D27" s="12">
        <f t="shared" si="4"/>
        <v>-1.7838084395330953E-2</v>
      </c>
      <c r="E27" s="95">
        <f t="shared" si="7"/>
        <v>7.1219298141131981E-2</v>
      </c>
      <c r="F27" s="95">
        <f t="shared" si="8"/>
        <v>3.2965597705904862E-2</v>
      </c>
      <c r="G27" s="11"/>
      <c r="H27" s="15">
        <f>Kokonaistuottavuus!J28</f>
        <v>79.143270247698737</v>
      </c>
      <c r="I27" s="55">
        <f>EXP(Kokonaistuottavuus!P28)*Pääoma!F27^0.35*Työvoimapanos!V27^0.65</f>
        <v>80.611305375635908</v>
      </c>
      <c r="J27" s="12">
        <f t="shared" si="0"/>
        <v>-1.8211280925130285E-2</v>
      </c>
      <c r="K27" s="95">
        <f t="shared" si="9"/>
        <v>7.1224258155553707E-2</v>
      </c>
      <c r="L27" s="95">
        <f t="shared" si="10"/>
        <v>3.3014775613795781E-2</v>
      </c>
      <c r="M27" s="4"/>
      <c r="N27" s="12">
        <f t="shared" si="1"/>
        <v>5.0228277322736463E-7</v>
      </c>
      <c r="O27" s="12">
        <f t="shared" si="2"/>
        <v>-3.7947245593343776E-4</v>
      </c>
      <c r="P27" s="12">
        <f t="shared" si="3"/>
        <v>3.7319652979933213E-4</v>
      </c>
      <c r="Q27" s="95">
        <f t="shared" si="5"/>
        <v>-4.960014421726E-6</v>
      </c>
      <c r="R27" s="95">
        <f t="shared" si="6"/>
        <v>-4.9177907890919637E-5</v>
      </c>
      <c r="S27" s="4"/>
      <c r="Y27" s="4"/>
    </row>
    <row r="28" spans="1:25" ht="15" x14ac:dyDescent="0.25">
      <c r="A28" s="1">
        <v>1980</v>
      </c>
      <c r="B28" s="15">
        <f>Kokonaistuottavuus!B29</f>
        <v>83.408379999999994</v>
      </c>
      <c r="C28" s="55">
        <f>EXP(Kokonaistuottavuus!H29)*Pääoma!B28^0.35*Työvoimapanos!K28^0.65</f>
        <v>83.393034450317074</v>
      </c>
      <c r="D28" s="12">
        <f t="shared" si="4"/>
        <v>1.8401476555049643E-4</v>
      </c>
      <c r="E28" s="95">
        <f t="shared" si="7"/>
        <v>5.3890467810861015E-2</v>
      </c>
      <c r="F28" s="95">
        <f t="shared" si="8"/>
        <v>3.4900643703296937E-2</v>
      </c>
      <c r="G28" s="11"/>
      <c r="H28" s="15">
        <f>Kokonaistuottavuus!J29</f>
        <v>83.407974035171321</v>
      </c>
      <c r="I28" s="55">
        <f>EXP(Kokonaistuottavuus!P29)*Pääoma!F28^0.35*Työvoimapanos!V28^0.65</f>
        <v>83.424890834540363</v>
      </c>
      <c r="J28" s="12">
        <f t="shared" si="0"/>
        <v>-2.0277880138427668E-4</v>
      </c>
      <c r="K28" s="95">
        <f t="shared" si="9"/>
        <v>5.3885867669166594E-2</v>
      </c>
      <c r="L28" s="95">
        <f t="shared" si="10"/>
        <v>3.4903112482716825E-2</v>
      </c>
      <c r="M28" s="4"/>
      <c r="N28" s="12">
        <f t="shared" si="1"/>
        <v>4.8672184328747264E-6</v>
      </c>
      <c r="O28" s="12">
        <f t="shared" si="2"/>
        <v>-3.8185706813175218E-4</v>
      </c>
      <c r="P28" s="12">
        <f t="shared" si="3"/>
        <v>3.8679356693477308E-4</v>
      </c>
      <c r="Q28" s="95">
        <f t="shared" si="5"/>
        <v>4.6001416944205231E-6</v>
      </c>
      <c r="R28" s="95">
        <f t="shared" si="6"/>
        <v>-2.4687794198882673E-6</v>
      </c>
      <c r="S28" s="4"/>
      <c r="Y28" s="4"/>
    </row>
    <row r="29" spans="1:25" ht="15" x14ac:dyDescent="0.25">
      <c r="A29" s="1">
        <v>1981</v>
      </c>
      <c r="B29" s="15">
        <f>Kokonaistuottavuus!B30</f>
        <v>84.481440000000006</v>
      </c>
      <c r="C29" s="55">
        <f>EXP(Kokonaistuottavuus!H30)*Pääoma!B29^0.35*Työvoimapanos!K29^0.65</f>
        <v>85.659327331817863</v>
      </c>
      <c r="D29" s="12">
        <f t="shared" si="4"/>
        <v>-1.3750835647530641E-2</v>
      </c>
      <c r="E29" s="95">
        <f t="shared" si="7"/>
        <v>1.286513417476772E-2</v>
      </c>
      <c r="F29" s="95">
        <f t="shared" si="8"/>
        <v>2.7176045294897793E-2</v>
      </c>
      <c r="G29" s="11"/>
      <c r="H29" s="15">
        <f>Kokonaistuottavuus!J30</f>
        <v>84.481392634376405</v>
      </c>
      <c r="I29" s="55">
        <f>EXP(Kokonaistuottavuus!P30)*Pääoma!F29^0.35*Työvoimapanos!V29^0.65</f>
        <v>85.710793097979774</v>
      </c>
      <c r="J29" s="12">
        <f t="shared" si="0"/>
        <v>-1.4343589869691059E-2</v>
      </c>
      <c r="K29" s="95">
        <f t="shared" si="9"/>
        <v>1.2869496131778081E-2</v>
      </c>
      <c r="L29" s="95">
        <f t="shared" si="10"/>
        <v>2.7400722261334741E-2</v>
      </c>
      <c r="M29" s="4"/>
      <c r="N29" s="12">
        <f t="shared" si="1"/>
        <v>5.6066338544006796E-7</v>
      </c>
      <c r="O29" s="12">
        <f t="shared" si="2"/>
        <v>-6.0045840554850938E-4</v>
      </c>
      <c r="P29" s="12">
        <f t="shared" si="3"/>
        <v>5.9275422216041769E-4</v>
      </c>
      <c r="Q29" s="95">
        <f t="shared" si="5"/>
        <v>-4.3619570103611838E-6</v>
      </c>
      <c r="R29" s="95">
        <f t="shared" si="6"/>
        <v>-2.2467696643694787E-4</v>
      </c>
      <c r="S29" s="4"/>
      <c r="Y29" s="4"/>
    </row>
    <row r="30" spans="1:25" ht="15" x14ac:dyDescent="0.25">
      <c r="A30" s="1">
        <v>1982</v>
      </c>
      <c r="B30" s="15">
        <f>Kokonaistuottavuus!B31</f>
        <v>87.057429999999997</v>
      </c>
      <c r="C30" s="55">
        <f>EXP(Kokonaistuottavuus!H31)*Pääoma!B30^0.35*Työvoimapanos!K30^0.65</f>
        <v>88.255623238119725</v>
      </c>
      <c r="D30" s="12">
        <f t="shared" si="4"/>
        <v>-1.3576395408674648E-2</v>
      </c>
      <c r="E30" s="95">
        <f t="shared" si="7"/>
        <v>3.0491786124857603E-2</v>
      </c>
      <c r="F30" s="95">
        <f t="shared" si="8"/>
        <v>3.0309552820145441E-2</v>
      </c>
      <c r="G30" s="11"/>
      <c r="H30" s="15">
        <f>Kokonaistuottavuus!J31</f>
        <v>87.056963475022229</v>
      </c>
      <c r="I30" s="55">
        <f>EXP(Kokonaistuottavuus!P31)*Pääoma!F30^0.35*Työvoimapanos!V30^0.65</f>
        <v>88.309776095260517</v>
      </c>
      <c r="J30" s="12">
        <f t="shared" si="0"/>
        <v>-1.418656773500216E-2</v>
      </c>
      <c r="K30" s="95">
        <f t="shared" si="9"/>
        <v>3.0486841662193384E-2</v>
      </c>
      <c r="L30" s="95">
        <f t="shared" si="10"/>
        <v>3.0322703866591586E-2</v>
      </c>
      <c r="M30" s="4"/>
      <c r="N30" s="12">
        <f t="shared" si="1"/>
        <v>5.3588473471302188E-6</v>
      </c>
      <c r="O30" s="12">
        <f t="shared" si="2"/>
        <v>-6.1321474852769604E-4</v>
      </c>
      <c r="P30" s="12">
        <f t="shared" si="3"/>
        <v>6.1017232632751273E-4</v>
      </c>
      <c r="Q30" s="95">
        <f t="shared" si="5"/>
        <v>4.944462664219218E-6</v>
      </c>
      <c r="R30" s="95">
        <f t="shared" si="6"/>
        <v>-1.3151046446144982E-5</v>
      </c>
      <c r="S30" s="4"/>
      <c r="Y30" s="4"/>
    </row>
    <row r="31" spans="1:25" ht="15" x14ac:dyDescent="0.25">
      <c r="A31" s="1">
        <v>1983</v>
      </c>
      <c r="B31" s="15">
        <f>Kokonaistuottavuus!B32</f>
        <v>89.689890000000005</v>
      </c>
      <c r="C31" s="55">
        <f>EXP(Kokonaistuottavuus!H32)*Pääoma!B31^0.35*Työvoimapanos!K31^0.65</f>
        <v>91.064759744787509</v>
      </c>
      <c r="D31" s="12">
        <f t="shared" si="4"/>
        <v>-1.5097714512624077E-2</v>
      </c>
      <c r="E31" s="95">
        <f t="shared" si="7"/>
        <v>3.0238200231732192E-2</v>
      </c>
      <c r="F31" s="95">
        <f t="shared" si="8"/>
        <v>3.1829546986355088E-2</v>
      </c>
      <c r="G31" s="11"/>
      <c r="H31" s="15">
        <f>Kokonaistuottavuus!J32</f>
        <v>89.689251866026495</v>
      </c>
      <c r="I31" s="55">
        <f>EXP(Kokonaistuottavuus!P32)*Pääoma!F31^0.35*Työvoimapanos!V31^0.65</f>
        <v>91.094091105083692</v>
      </c>
      <c r="J31" s="12">
        <f t="shared" si="0"/>
        <v>-1.5421848135425287E-2</v>
      </c>
      <c r="K31" s="95">
        <f t="shared" si="9"/>
        <v>3.0236391047104509E-2</v>
      </c>
      <c r="L31" s="95">
        <f t="shared" si="10"/>
        <v>3.1528955603054749E-2</v>
      </c>
      <c r="M31" s="4"/>
      <c r="N31" s="12">
        <f t="shared" si="1"/>
        <v>7.1149436552686822E-6</v>
      </c>
      <c r="O31" s="12">
        <f t="shared" si="2"/>
        <v>-3.2198971349686381E-4</v>
      </c>
      <c r="P31" s="12">
        <f t="shared" si="3"/>
        <v>3.2413362280121066E-4</v>
      </c>
      <c r="Q31" s="95">
        <f t="shared" si="5"/>
        <v>1.8091846276831192E-6</v>
      </c>
      <c r="R31" s="95">
        <f t="shared" si="6"/>
        <v>3.0059138330033874E-4</v>
      </c>
      <c r="S31" s="4"/>
      <c r="Y31" s="4"/>
    </row>
    <row r="32" spans="1:25" ht="15" x14ac:dyDescent="0.25">
      <c r="A32" s="1">
        <v>1984</v>
      </c>
      <c r="B32" s="15">
        <f>Kokonaistuottavuus!B33</f>
        <v>92.477140000000006</v>
      </c>
      <c r="C32" s="55">
        <f>EXP(Kokonaistuottavuus!H33)*Pääoma!B32^0.35*Työvoimapanos!K32^0.65</f>
        <v>93.836082742202422</v>
      </c>
      <c r="D32" s="12">
        <f t="shared" si="4"/>
        <v>-1.4482091563176864E-2</v>
      </c>
      <c r="E32" s="95">
        <f t="shared" si="7"/>
        <v>3.1076523786571709E-2</v>
      </c>
      <c r="F32" s="95">
        <f t="shared" si="8"/>
        <v>3.0432441761024265E-2</v>
      </c>
      <c r="G32" s="11"/>
      <c r="H32" s="15">
        <f>Kokonaistuottavuus!J33</f>
        <v>92.476632374726776</v>
      </c>
      <c r="I32" s="55">
        <f>EXP(Kokonaistuottavuus!P33)*Pääoma!F32^0.35*Työvoimapanos!V32^0.65</f>
        <v>93.824421784331165</v>
      </c>
      <c r="J32" s="12">
        <f t="shared" si="0"/>
        <v>-1.4365016953714617E-2</v>
      </c>
      <c r="K32" s="95">
        <f t="shared" si="9"/>
        <v>3.1078200015135997E-2</v>
      </c>
      <c r="L32" s="95">
        <f t="shared" si="10"/>
        <v>2.997264307843894E-2</v>
      </c>
      <c r="M32" s="4"/>
      <c r="N32" s="12">
        <f t="shared" si="1"/>
        <v>5.4892274966554804E-6</v>
      </c>
      <c r="O32" s="12">
        <f t="shared" si="2"/>
        <v>1.2428488925901788E-4</v>
      </c>
      <c r="P32" s="12">
        <f t="shared" si="3"/>
        <v>-1.1707460946224629E-4</v>
      </c>
      <c r="Q32" s="95">
        <f t="shared" si="5"/>
        <v>-1.6762285642880903E-6</v>
      </c>
      <c r="R32" s="95">
        <f t="shared" si="6"/>
        <v>4.5979868258532591E-4</v>
      </c>
      <c r="S32" s="4"/>
      <c r="Y32" s="4"/>
    </row>
    <row r="33" spans="1:25" ht="15" x14ac:dyDescent="0.25">
      <c r="A33" s="1">
        <v>1985</v>
      </c>
      <c r="B33" s="15">
        <f>Kokonaistuottavuus!B34</f>
        <v>95.531090000000006</v>
      </c>
      <c r="C33" s="55">
        <f>EXP(Kokonaistuottavuus!H34)*Pääoma!B33^0.35*Työvoimapanos!K33^0.65</f>
        <v>96.591456906227648</v>
      </c>
      <c r="D33" s="12">
        <f t="shared" si="4"/>
        <v>-1.0977853944754779E-2</v>
      </c>
      <c r="E33" s="95">
        <f t="shared" si="7"/>
        <v>3.3023837026101802E-2</v>
      </c>
      <c r="F33" s="95">
        <f t="shared" si="8"/>
        <v>2.9363695536983536E-2</v>
      </c>
      <c r="G33" s="11"/>
      <c r="H33" s="15">
        <f>Kokonaistuottavuus!J34</f>
        <v>95.531044507205777</v>
      </c>
      <c r="I33" s="55">
        <f>EXP(Kokonaistuottavuus!P34)*Pääoma!F33^0.35*Työvoimapanos!V33^0.65</f>
        <v>96.538594238027855</v>
      </c>
      <c r="J33" s="12">
        <f t="shared" si="0"/>
        <v>-1.0436755773942999E-2</v>
      </c>
      <c r="K33" s="95">
        <f t="shared" si="9"/>
        <v>3.3029015590686141E-2</v>
      </c>
      <c r="L33" s="95">
        <f t="shared" si="10"/>
        <v>2.8928208691076228E-2</v>
      </c>
      <c r="M33" s="4"/>
      <c r="N33" s="12">
        <f t="shared" si="1"/>
        <v>4.7620953443229836E-7</v>
      </c>
      <c r="O33" s="12">
        <f t="shared" si="2"/>
        <v>5.4758067089162295E-4</v>
      </c>
      <c r="P33" s="12">
        <f t="shared" si="3"/>
        <v>-5.4109817081177992E-4</v>
      </c>
      <c r="Q33" s="95">
        <f t="shared" si="5"/>
        <v>-5.1785645843391293E-6</v>
      </c>
      <c r="R33" s="95">
        <f t="shared" si="6"/>
        <v>4.354868459073083E-4</v>
      </c>
      <c r="S33" s="4"/>
      <c r="Y33" s="4"/>
    </row>
    <row r="34" spans="1:25" ht="15" x14ac:dyDescent="0.25">
      <c r="A34" s="1">
        <v>1986</v>
      </c>
      <c r="B34" s="15">
        <f>Kokonaistuottavuus!B35</f>
        <v>98.054789999999997</v>
      </c>
      <c r="C34" s="55">
        <f>EXP(Kokonaistuottavuus!H35)*Pääoma!B34^0.35*Työvoimapanos!K34^0.65</f>
        <v>99.145693713596813</v>
      </c>
      <c r="D34" s="12">
        <f t="shared" si="4"/>
        <v>-1.100303677079633E-2</v>
      </c>
      <c r="E34" s="95">
        <f t="shared" si="7"/>
        <v>2.641757777494207E-2</v>
      </c>
      <c r="F34" s="95">
        <f t="shared" si="8"/>
        <v>2.6443713441954335E-2</v>
      </c>
      <c r="G34" s="11"/>
      <c r="H34" s="15">
        <f>Kokonaistuottavuus!J35</f>
        <v>98.054708801211547</v>
      </c>
      <c r="I34" s="55">
        <f>EXP(Kokonaistuottavuus!P35)*Pääoma!F34^0.35*Työvoimapanos!V34^0.65</f>
        <v>99.057860504941416</v>
      </c>
      <c r="J34" s="12">
        <f t="shared" si="0"/>
        <v>-1.0126926814453341E-2</v>
      </c>
      <c r="K34" s="95">
        <f t="shared" si="9"/>
        <v>2.6417216591988719E-2</v>
      </c>
      <c r="L34" s="95">
        <f t="shared" si="10"/>
        <v>2.6095949364064681E-2</v>
      </c>
      <c r="M34" s="4"/>
      <c r="N34" s="12">
        <f t="shared" si="1"/>
        <v>8.2809677824836723E-7</v>
      </c>
      <c r="O34" s="12">
        <f t="shared" si="2"/>
        <v>8.8668590465887669E-4</v>
      </c>
      <c r="P34" s="12">
        <f t="shared" si="3"/>
        <v>-8.7610995634298909E-4</v>
      </c>
      <c r="Q34" s="95">
        <f t="shared" si="5"/>
        <v>3.6118295335119122E-7</v>
      </c>
      <c r="R34" s="95">
        <f t="shared" si="6"/>
        <v>3.4776407788965347E-4</v>
      </c>
      <c r="S34" s="4"/>
      <c r="Y34" s="4"/>
    </row>
    <row r="35" spans="1:25" ht="15" x14ac:dyDescent="0.25">
      <c r="A35" s="1">
        <v>1987</v>
      </c>
      <c r="B35" s="15">
        <f>Kokonaistuottavuus!B36</f>
        <v>101.47687999999999</v>
      </c>
      <c r="C35" s="55">
        <f>EXP(Kokonaistuottavuus!H36)*Pääoma!B35^0.35*Työvoimapanos!K35^0.65</f>
        <v>101.56563276536761</v>
      </c>
      <c r="D35" s="12">
        <f t="shared" si="4"/>
        <v>-8.7384642768532309E-4</v>
      </c>
      <c r="E35" s="95">
        <f t="shared" si="7"/>
        <v>3.4899773891719083E-2</v>
      </c>
      <c r="F35" s="95">
        <f t="shared" si="8"/>
        <v>2.4407908817112113E-2</v>
      </c>
      <c r="G35" s="11"/>
      <c r="H35" s="15">
        <f>Kokonaistuottavuus!J36</f>
        <v>101.47693262666601</v>
      </c>
      <c r="I35" s="55">
        <f>EXP(Kokonaistuottavuus!P36)*Pääoma!F35^0.35*Työvoimapanos!V35^0.65</f>
        <v>101.44543747579684</v>
      </c>
      <c r="J35" s="12">
        <f t="shared" si="0"/>
        <v>3.1046394646078119E-4</v>
      </c>
      <c r="K35" s="95">
        <f t="shared" si="9"/>
        <v>3.4901167596065333E-2</v>
      </c>
      <c r="L35" s="95">
        <f t="shared" si="10"/>
        <v>2.410285219855236E-2</v>
      </c>
      <c r="M35" s="4"/>
      <c r="N35" s="12">
        <f t="shared" si="1"/>
        <v>-5.1860718151985747E-7</v>
      </c>
      <c r="O35" s="12">
        <f t="shared" si="2"/>
        <v>1.1848269627645893E-3</v>
      </c>
      <c r="P35" s="12">
        <f t="shared" si="3"/>
        <v>-1.1843103741461043E-3</v>
      </c>
      <c r="Q35" s="95">
        <f t="shared" si="5"/>
        <v>-1.3937043462503018E-6</v>
      </c>
      <c r="R35" s="95">
        <f t="shared" si="6"/>
        <v>3.050566185597535E-4</v>
      </c>
      <c r="S35" s="4"/>
      <c r="Y35" s="4"/>
    </row>
    <row r="36" spans="1:25" ht="15" x14ac:dyDescent="0.25">
      <c r="A36" s="1">
        <v>1988</v>
      </c>
      <c r="B36" s="15">
        <f>Kokonaistuottavuus!B37</f>
        <v>106.77527000000001</v>
      </c>
      <c r="C36" s="55">
        <f>EXP(Kokonaistuottavuus!H37)*Pääoma!B36^0.35*Työvoimapanos!K36^0.65</f>
        <v>103.82742327859607</v>
      </c>
      <c r="D36" s="12">
        <f t="shared" si="4"/>
        <v>2.839179311513965E-2</v>
      </c>
      <c r="E36" s="95">
        <f t="shared" si="7"/>
        <v>5.2212779896268116E-2</v>
      </c>
      <c r="F36" s="95">
        <f t="shared" si="8"/>
        <v>2.2269250450627817E-2</v>
      </c>
      <c r="G36" s="11"/>
      <c r="H36" s="15">
        <f>Kokonaistuottavuus!J37</f>
        <v>106.77554203063038</v>
      </c>
      <c r="I36" s="55">
        <f>EXP(Kokonaistuottavuus!P37)*Pääoma!F36^0.35*Työvoimapanos!V36^0.65</f>
        <v>103.69347706490444</v>
      </c>
      <c r="J36" s="12">
        <f t="shared" si="0"/>
        <v>2.9722843258470244E-2</v>
      </c>
      <c r="K36" s="95">
        <f t="shared" si="9"/>
        <v>5.221491492512851E-2</v>
      </c>
      <c r="L36" s="95">
        <f t="shared" si="10"/>
        <v>2.2160085707589854E-2</v>
      </c>
      <c r="M36" s="4"/>
      <c r="N36" s="12">
        <f t="shared" si="1"/>
        <v>-2.5476867192304353E-6</v>
      </c>
      <c r="O36" s="12">
        <f t="shared" si="2"/>
        <v>1.291751588268076E-3</v>
      </c>
      <c r="P36" s="12">
        <f t="shared" si="3"/>
        <v>-1.3310501433305942E-3</v>
      </c>
      <c r="Q36" s="95">
        <f t="shared" si="5"/>
        <v>-2.135028860393573E-6</v>
      </c>
      <c r="R36" s="95">
        <f t="shared" si="6"/>
        <v>1.0916474303796289E-4</v>
      </c>
      <c r="S36" s="4"/>
      <c r="Y36" s="4"/>
    </row>
    <row r="37" spans="1:25" ht="15" x14ac:dyDescent="0.25">
      <c r="A37" s="1">
        <v>1989</v>
      </c>
      <c r="B37" s="15">
        <f>Kokonaistuottavuus!B38</f>
        <v>112.19708</v>
      </c>
      <c r="C37" s="55">
        <f>EXP(Kokonaistuottavuus!H38)*Pääoma!B37^0.35*Työvoimapanos!K37^0.65</f>
        <v>105.98870475835427</v>
      </c>
      <c r="D37" s="12">
        <f t="shared" si="4"/>
        <v>5.8575819525300568E-2</v>
      </c>
      <c r="E37" s="95">
        <f t="shared" si="7"/>
        <v>5.0777769047083594E-2</v>
      </c>
      <c r="F37" s="95">
        <f t="shared" si="8"/>
        <v>2.0816094741741974E-2</v>
      </c>
      <c r="G37" s="11"/>
      <c r="H37" s="15">
        <f>Kokonaistuottavuus!J38</f>
        <v>112.19764780830535</v>
      </c>
      <c r="I37" s="55">
        <f>EXP(Kokonaistuottavuus!P38)*Pääoma!F37^0.35*Työvoimapanos!V37^0.65</f>
        <v>105.86624103031828</v>
      </c>
      <c r="J37" s="12">
        <f t="shared" si="0"/>
        <v>5.9805720089502974E-2</v>
      </c>
      <c r="K37" s="95">
        <f t="shared" si="9"/>
        <v>5.078040976949149E-2</v>
      </c>
      <c r="L37" s="95">
        <f t="shared" si="10"/>
        <v>2.0953718854020552E-2</v>
      </c>
      <c r="M37" s="4"/>
      <c r="N37" s="12">
        <f t="shared" si="1"/>
        <v>-5.0607861790322006E-6</v>
      </c>
      <c r="O37" s="12">
        <f t="shared" si="2"/>
        <v>1.1567779005294443E-3</v>
      </c>
      <c r="P37" s="12">
        <f t="shared" si="3"/>
        <v>-1.2299005642024061E-3</v>
      </c>
      <c r="Q37" s="95">
        <f t="shared" si="5"/>
        <v>-2.6407224078955904E-6</v>
      </c>
      <c r="R37" s="95">
        <f t="shared" si="6"/>
        <v>-1.3762411227857818E-4</v>
      </c>
      <c r="S37" s="4"/>
      <c r="Y37" s="4"/>
    </row>
    <row r="38" spans="1:25" ht="15" x14ac:dyDescent="0.25">
      <c r="A38" s="1">
        <v>1990</v>
      </c>
      <c r="B38" s="15">
        <f>Kokonaistuottavuus!B39</f>
        <v>112.76394000000001</v>
      </c>
      <c r="C38" s="55">
        <f>EXP(Kokonaistuottavuus!H39)*Pääoma!B38^0.35*Työvoimapanos!K38^0.65</f>
        <v>107.36635596788427</v>
      </c>
      <c r="D38" s="12">
        <f t="shared" si="4"/>
        <v>5.0272582909773628E-2</v>
      </c>
      <c r="E38" s="95">
        <f t="shared" si="7"/>
        <v>5.0523596514276976E-3</v>
      </c>
      <c r="F38" s="95">
        <f t="shared" si="8"/>
        <v>1.2998094586314029E-2</v>
      </c>
      <c r="G38" s="11"/>
      <c r="H38" s="15">
        <f>Kokonaistuottavuus!J39</f>
        <v>112.76468734874129</v>
      </c>
      <c r="I38" s="55">
        <f>EXP(Kokonaistuottavuus!P39)*Pääoma!F38^0.35*Työvoimapanos!V38^0.65</f>
        <v>107.2742237469152</v>
      </c>
      <c r="J38" s="12">
        <f t="shared" si="0"/>
        <v>5.1181573821306517E-2</v>
      </c>
      <c r="K38" s="95">
        <f t="shared" si="9"/>
        <v>5.0539342982016408E-3</v>
      </c>
      <c r="L38" s="95">
        <f t="shared" si="10"/>
        <v>1.3299638325627309E-2</v>
      </c>
      <c r="M38" s="4"/>
      <c r="N38" s="12">
        <f t="shared" si="1"/>
        <v>-6.6275068805356688E-6</v>
      </c>
      <c r="O38" s="12">
        <f t="shared" si="2"/>
        <v>8.5884770591711235E-4</v>
      </c>
      <c r="P38" s="12">
        <f t="shared" si="3"/>
        <v>-9.0899091153288925E-4</v>
      </c>
      <c r="Q38" s="95">
        <f t="shared" si="5"/>
        <v>-1.5746467739432765E-6</v>
      </c>
      <c r="R38" s="95">
        <f t="shared" si="6"/>
        <v>-3.0154373931328034E-4</v>
      </c>
      <c r="S38" s="4"/>
      <c r="Y38" s="4"/>
    </row>
    <row r="39" spans="1:25" ht="15" x14ac:dyDescent="0.25">
      <c r="A39" s="1">
        <v>1991</v>
      </c>
      <c r="B39" s="15">
        <f>Kokonaistuottavuus!B40</f>
        <v>105.99818999999999</v>
      </c>
      <c r="C39" s="55">
        <f>EXP(Kokonaistuottavuus!H40)*Pääoma!B39^0.35*Työvoimapanos!K39^0.65</f>
        <v>107.66453852582327</v>
      </c>
      <c r="D39" s="12">
        <f t="shared" si="4"/>
        <v>-1.547722721556651E-2</v>
      </c>
      <c r="E39" s="95">
        <f t="shared" si="7"/>
        <v>-5.9999233797613058E-2</v>
      </c>
      <c r="F39" s="95">
        <f>(C39-C38)/C38</f>
        <v>2.777243907096872E-3</v>
      </c>
      <c r="G39" s="11"/>
      <c r="H39" s="15">
        <f>Kokonaistuottavuus!J40</f>
        <v>105.9987531867759</v>
      </c>
      <c r="I39" s="55">
        <f>EXP(Kokonaistuottavuus!P40)*Pääoma!F39^0.35*Työvoimapanos!V39^0.65</f>
        <v>107.63500320368229</v>
      </c>
      <c r="J39" s="12">
        <f t="shared" si="0"/>
        <v>-1.5201839254931246E-2</v>
      </c>
      <c r="K39" s="95">
        <f t="shared" si="9"/>
        <v>-6.000046930508262E-2</v>
      </c>
      <c r="L39" s="95">
        <f t="shared" si="10"/>
        <v>3.3631514092169364E-3</v>
      </c>
      <c r="M39" s="4"/>
      <c r="N39" s="12">
        <f t="shared" si="1"/>
        <v>-5.3131452868508795E-6</v>
      </c>
      <c r="O39" s="12">
        <f t="shared" si="2"/>
        <v>2.7440257594544702E-4</v>
      </c>
      <c r="P39" s="12">
        <f t="shared" si="3"/>
        <v>-2.7538796063526425E-4</v>
      </c>
      <c r="Q39" s="95">
        <f t="shared" si="5"/>
        <v>1.2355074695616364E-6</v>
      </c>
      <c r="R39" s="95">
        <f t="shared" si="6"/>
        <v>-5.8590750212006437E-4</v>
      </c>
      <c r="S39" s="4"/>
      <c r="Y39" s="4"/>
    </row>
    <row r="40" spans="1:25" ht="15" x14ac:dyDescent="0.25">
      <c r="A40" s="1">
        <v>1992</v>
      </c>
      <c r="B40" s="15">
        <f>Kokonaistuottavuus!B41</f>
        <v>102.30417</v>
      </c>
      <c r="C40" s="55">
        <f>EXP(Kokonaistuottavuus!H41)*Pääoma!B40^0.35*Työvoimapanos!K40^0.65</f>
        <v>107.82026643985904</v>
      </c>
      <c r="D40" s="12">
        <f t="shared" si="4"/>
        <v>-5.1160107668031585E-2</v>
      </c>
      <c r="E40" s="95">
        <f t="shared" si="7"/>
        <v>-3.4849840360481582E-2</v>
      </c>
      <c r="F40" s="95">
        <f t="shared" si="8"/>
        <v>1.4464178843660188E-3</v>
      </c>
      <c r="G40" s="11"/>
      <c r="H40" s="15">
        <f>Kokonaistuottavuus!J41</f>
        <v>102.30446710104586</v>
      </c>
      <c r="I40" s="55">
        <f>EXP(Kokonaistuottavuus!P41)*Pääoma!F40^0.35*Työvoimapanos!V40^0.65</f>
        <v>107.85887616661282</v>
      </c>
      <c r="J40" s="12">
        <f t="shared" si="0"/>
        <v>-5.1497004817544149E-2</v>
      </c>
      <c r="K40" s="95">
        <f t="shared" si="9"/>
        <v>-3.4852165470479611E-2</v>
      </c>
      <c r="L40" s="95">
        <f t="shared" si="10"/>
        <v>2.0799271265582995E-3</v>
      </c>
      <c r="M40" s="4"/>
      <c r="N40" s="12">
        <f t="shared" si="1"/>
        <v>-2.904086735196062E-6</v>
      </c>
      <c r="O40" s="12">
        <f t="shared" si="2"/>
        <v>-3.5796522387397022E-4</v>
      </c>
      <c r="P40" s="12">
        <f t="shared" si="3"/>
        <v>3.3689714951256472E-4</v>
      </c>
      <c r="Q40" s="95">
        <f t="shared" si="5"/>
        <v>2.3251099980289847E-6</v>
      </c>
      <c r="R40" s="95">
        <f t="shared" si="6"/>
        <v>-6.3350924219228075E-4</v>
      </c>
      <c r="S40" s="4"/>
      <c r="Y40" s="4"/>
    </row>
    <row r="41" spans="1:25" ht="15" x14ac:dyDescent="0.25">
      <c r="A41" s="1">
        <v>1993</v>
      </c>
      <c r="B41" s="15">
        <f>Kokonaistuottavuus!B42</f>
        <v>101.47479</v>
      </c>
      <c r="C41" s="55">
        <f>EXP(Kokonaistuottavuus!H42)*Pääoma!B41^0.35*Työvoimapanos!K41^0.65</f>
        <v>108.29847517357058</v>
      </c>
      <c r="D41" s="12">
        <f t="shared" si="4"/>
        <v>-6.3008137119513669E-2</v>
      </c>
      <c r="E41" s="95">
        <f t="shared" si="7"/>
        <v>-8.1070009169714238E-3</v>
      </c>
      <c r="F41" s="95">
        <f t="shared" si="8"/>
        <v>4.4352397698653387E-3</v>
      </c>
      <c r="G41" s="11"/>
      <c r="H41" s="15">
        <f>Kokonaistuottavuus!J42</f>
        <v>101.47496639036369</v>
      </c>
      <c r="I41" s="55">
        <f>EXP(Kokonaistuottavuus!P42)*Pääoma!F41^0.35*Työvoimapanos!V41^0.65</f>
        <v>108.40804968158675</v>
      </c>
      <c r="J41" s="12">
        <f t="shared" si="0"/>
        <v>-6.3953583812149786E-2</v>
      </c>
      <c r="K41" s="95">
        <f t="shared" si="9"/>
        <v>-8.1081572895822119E-3</v>
      </c>
      <c r="L41" s="95">
        <f t="shared" si="10"/>
        <v>5.0915931492333108E-3</v>
      </c>
      <c r="M41" s="4"/>
      <c r="N41" s="12">
        <f t="shared" si="1"/>
        <v>-1.7382648151147947E-6</v>
      </c>
      <c r="O41" s="12">
        <f t="shared" si="2"/>
        <v>-1.0107598867243313E-3</v>
      </c>
      <c r="P41" s="12">
        <f t="shared" si="3"/>
        <v>9.4544669263611769E-4</v>
      </c>
      <c r="Q41" s="95">
        <f t="shared" si="5"/>
        <v>1.1563726107881311E-6</v>
      </c>
      <c r="R41" s="95">
        <f t="shared" si="6"/>
        <v>-6.5635337936797208E-4</v>
      </c>
      <c r="S41" s="4"/>
      <c r="Y41" s="4"/>
    </row>
    <row r="42" spans="1:25" ht="15" x14ac:dyDescent="0.25">
      <c r="A42" s="1">
        <v>1994</v>
      </c>
      <c r="B42" s="15">
        <f>Kokonaistuottavuus!B43</f>
        <v>105.18241</v>
      </c>
      <c r="C42" s="55">
        <f>EXP(Kokonaistuottavuus!H43)*Pääoma!B42^0.35*Työvoimapanos!K42^0.65</f>
        <v>109.92691223881151</v>
      </c>
      <c r="D42" s="12">
        <f t="shared" si="4"/>
        <v>-4.3160515857156787E-2</v>
      </c>
      <c r="E42" s="95">
        <f t="shared" si="7"/>
        <v>3.6537350804076614E-2</v>
      </c>
      <c r="F42" s="95">
        <f t="shared" si="8"/>
        <v>1.5036565035943724E-2</v>
      </c>
      <c r="G42" s="11"/>
      <c r="H42" s="15">
        <f>Kokonaistuottavuus!J43</f>
        <v>105.18259778206041</v>
      </c>
      <c r="I42" s="55">
        <f>EXP(Kokonaistuottavuus!P43)*Pääoma!F42^0.35*Työvoimapanos!V42^0.65</f>
        <v>110.05434990467339</v>
      </c>
      <c r="J42" s="12">
        <f t="shared" si="0"/>
        <v>-4.426678388298852E-2</v>
      </c>
      <c r="K42" s="95">
        <f t="shared" si="9"/>
        <v>3.6537399553638168E-2</v>
      </c>
      <c r="L42" s="95">
        <f t="shared" si="10"/>
        <v>1.5186143722003212E-2</v>
      </c>
      <c r="M42" s="4"/>
      <c r="N42" s="12">
        <f t="shared" si="1"/>
        <v>-1.785295898443322E-6</v>
      </c>
      <c r="O42" s="12">
        <f t="shared" si="2"/>
        <v>-1.1579521025044442E-3</v>
      </c>
      <c r="P42" s="12">
        <f t="shared" si="3"/>
        <v>1.1062680258317331E-3</v>
      </c>
      <c r="Q42" s="95">
        <f t="shared" si="5"/>
        <v>-4.8749561554206622E-8</v>
      </c>
      <c r="R42" s="95">
        <f t="shared" si="6"/>
        <v>-1.495786860594879E-4</v>
      </c>
      <c r="S42" s="4"/>
      <c r="Y42" s="4"/>
    </row>
    <row r="43" spans="1:25" ht="15" x14ac:dyDescent="0.25">
      <c r="A43" s="1">
        <v>1995</v>
      </c>
      <c r="B43" s="15">
        <f>Kokonaistuottavuus!B44</f>
        <v>109.35021</v>
      </c>
      <c r="C43" s="55">
        <f>EXP(Kokonaistuottavuus!H44)*Pääoma!B43^0.35*Työvoimapanos!K43^0.65</f>
        <v>112.47970177792729</v>
      </c>
      <c r="D43" s="12">
        <f t="shared" si="4"/>
        <v>-2.7822724709085315E-2</v>
      </c>
      <c r="E43" s="95">
        <f t="shared" si="7"/>
        <v>3.9624496149118463E-2</v>
      </c>
      <c r="F43" s="95">
        <f t="shared" si="8"/>
        <v>2.3222607522805267E-2</v>
      </c>
      <c r="G43" s="11"/>
      <c r="H43" s="15">
        <f>Kokonaistuottavuus!J44</f>
        <v>109.35045397294084</v>
      </c>
      <c r="I43" s="55">
        <f>EXP(Kokonaistuottavuus!P44)*Pääoma!F43^0.35*Työvoimapanos!V43^0.65</f>
        <v>112.60392400307018</v>
      </c>
      <c r="J43" s="12">
        <f t="shared" si="0"/>
        <v>-2.8893043106034466E-2</v>
      </c>
      <c r="K43" s="95">
        <f t="shared" si="9"/>
        <v>3.9624959629883605E-2</v>
      </c>
      <c r="L43" s="95">
        <f t="shared" si="10"/>
        <v>2.3166500012086512E-2</v>
      </c>
      <c r="M43" s="4"/>
      <c r="N43" s="12">
        <f t="shared" si="1"/>
        <v>-2.2311104524259999E-6</v>
      </c>
      <c r="O43" s="12">
        <f t="shared" si="2"/>
        <v>-1.1031784748416059E-3</v>
      </c>
      <c r="P43" s="12">
        <f t="shared" si="3"/>
        <v>1.0703183969491513E-3</v>
      </c>
      <c r="Q43" s="95">
        <f t="shared" si="5"/>
        <v>-4.6348076514213243E-7</v>
      </c>
      <c r="R43" s="95">
        <f t="shared" si="6"/>
        <v>5.6107510718755166E-5</v>
      </c>
      <c r="S43" s="4"/>
      <c r="Y43" s="4"/>
    </row>
    <row r="44" spans="1:25" ht="15" x14ac:dyDescent="0.25">
      <c r="A44" s="1">
        <v>1996</v>
      </c>
      <c r="B44" s="15">
        <f>Kokonaistuottavuus!B45</f>
        <v>113.25341</v>
      </c>
      <c r="C44" s="55">
        <f>EXP(Kokonaistuottavuus!H45)*Pääoma!B44^0.35*Työvoimapanos!K44^0.65</f>
        <v>115.59309197143637</v>
      </c>
      <c r="D44" s="12">
        <f t="shared" si="4"/>
        <v>-2.024067296352372E-2</v>
      </c>
      <c r="E44" s="95">
        <f t="shared" si="7"/>
        <v>3.5694490207197574E-2</v>
      </c>
      <c r="F44" s="95">
        <f t="shared" si="8"/>
        <v>2.7679573685712239E-2</v>
      </c>
      <c r="G44" s="11"/>
      <c r="H44" s="15">
        <f>Kokonaistuottavuus!J45</f>
        <v>113.25370495930922</v>
      </c>
      <c r="I44" s="55">
        <f>EXP(Kokonaistuottavuus!P45)*Pääoma!F44^0.35*Työvoimapanos!V44^0.65</f>
        <v>115.71479931641345</v>
      </c>
      <c r="J44" s="12">
        <f t="shared" si="0"/>
        <v>-2.1268622264767983E-2</v>
      </c>
      <c r="K44" s="95">
        <f t="shared" si="9"/>
        <v>3.5694876834569435E-2</v>
      </c>
      <c r="L44" s="95">
        <f t="shared" si="10"/>
        <v>2.7626704316791414E-2</v>
      </c>
      <c r="M44" s="4"/>
      <c r="N44" s="12">
        <f t="shared" si="1"/>
        <v>-2.6044120086083729E-6</v>
      </c>
      <c r="O44" s="12">
        <f t="shared" si="2"/>
        <v>-1.051787201776003E-3</v>
      </c>
      <c r="P44" s="12">
        <f t="shared" si="3"/>
        <v>1.0279493012442624E-3</v>
      </c>
      <c r="Q44" s="95">
        <f t="shared" si="5"/>
        <v>-3.8662737186084817E-7</v>
      </c>
      <c r="R44" s="95">
        <f t="shared" si="6"/>
        <v>5.2869368920824972E-5</v>
      </c>
      <c r="S44" s="4"/>
      <c r="Y44" s="4"/>
    </row>
    <row r="45" spans="1:25" ht="15" x14ac:dyDescent="0.25">
      <c r="A45" s="1">
        <v>1997</v>
      </c>
      <c r="B45" s="15">
        <f>Kokonaistuottavuus!B46</f>
        <v>120.28167999999999</v>
      </c>
      <c r="C45" s="55">
        <f>EXP(Kokonaistuottavuus!H46)*Pääoma!B45^0.35*Työvoimapanos!K45^0.65</f>
        <v>119.57798662394794</v>
      </c>
      <c r="D45" s="12">
        <f t="shared" si="4"/>
        <v>5.8848070277772125E-3</v>
      </c>
      <c r="E45" s="95">
        <f t="shared" si="7"/>
        <v>6.2057910662469164E-2</v>
      </c>
      <c r="F45" s="95">
        <f t="shared" si="8"/>
        <v>3.447346709521585E-2</v>
      </c>
      <c r="G45" s="11"/>
      <c r="H45" s="15">
        <f>Kokonaistuottavuus!J46</f>
        <v>120.28215258503951</v>
      </c>
      <c r="I45" s="55">
        <f>EXP(Kokonaistuottavuus!P46)*Pääoma!F45^0.35*Työvoimapanos!V45^0.65</f>
        <v>119.66866657795838</v>
      </c>
      <c r="J45" s="12">
        <f t="shared" si="0"/>
        <v>5.1265383380993809E-3</v>
      </c>
      <c r="K45" s="95">
        <f t="shared" si="9"/>
        <v>6.2059317425911462E-2</v>
      </c>
      <c r="L45" s="95">
        <f t="shared" si="10"/>
        <v>3.416907158723384E-2</v>
      </c>
      <c r="M45" s="4"/>
      <c r="N45" s="12">
        <f t="shared" si="1"/>
        <v>-3.9289705859180392E-6</v>
      </c>
      <c r="O45" s="12">
        <f t="shared" si="2"/>
        <v>-7.5775853950345914E-4</v>
      </c>
      <c r="P45" s="12">
        <f t="shared" si="3"/>
        <v>7.5826868967783165E-4</v>
      </c>
      <c r="Q45" s="95">
        <f t="shared" si="5"/>
        <v>-1.4067634422978981E-6</v>
      </c>
      <c r="R45" s="95">
        <f t="shared" si="6"/>
        <v>3.0439550798200959E-4</v>
      </c>
      <c r="S45" s="4"/>
      <c r="Y45" s="4"/>
    </row>
    <row r="46" spans="1:25" ht="15" x14ac:dyDescent="0.25">
      <c r="A46" s="1">
        <v>1998</v>
      </c>
      <c r="B46" s="15">
        <f>Kokonaistuottavuus!B47</f>
        <v>126.3331</v>
      </c>
      <c r="C46" s="55">
        <f>EXP(Kokonaistuottavuus!H47)*Pääoma!B46^0.35*Työvoimapanos!K46^0.65</f>
        <v>124.24578326854012</v>
      </c>
      <c r="D46" s="12">
        <f t="shared" si="4"/>
        <v>1.6799899976874318E-2</v>
      </c>
      <c r="E46" s="95">
        <f t="shared" si="7"/>
        <v>5.0310404710010762E-2</v>
      </c>
      <c r="F46" s="95">
        <f t="shared" si="8"/>
        <v>3.903558486288617E-2</v>
      </c>
      <c r="G46" s="11"/>
      <c r="H46" s="15">
        <f>Kokonaistuottavuus!J47</f>
        <v>126.33322388796921</v>
      </c>
      <c r="I46" s="55">
        <f>EXP(Kokonaistuottavuus!P47)*Pääoma!F46^0.35*Työvoimapanos!V46^0.65</f>
        <v>124.29800645196073</v>
      </c>
      <c r="J46" s="12">
        <f t="shared" si="0"/>
        <v>1.6373693304526656E-2</v>
      </c>
      <c r="K46" s="95">
        <f t="shared" si="9"/>
        <v>5.0307308049310065E-2</v>
      </c>
      <c r="L46" s="95">
        <f t="shared" si="10"/>
        <v>3.8684644914853822E-2</v>
      </c>
      <c r="M46" s="4"/>
      <c r="N46" s="12">
        <f t="shared" si="1"/>
        <v>-9.8064440530270185E-7</v>
      </c>
      <c r="O46" s="12">
        <f t="shared" si="2"/>
        <v>-4.2014497988583286E-4</v>
      </c>
      <c r="P46" s="12">
        <f t="shared" si="3"/>
        <v>4.2620667234766207E-4</v>
      </c>
      <c r="Q46" s="95">
        <f t="shared" si="5"/>
        <v>3.0966607006965852E-6</v>
      </c>
      <c r="R46" s="95">
        <f t="shared" si="6"/>
        <v>3.5093994803234857E-4</v>
      </c>
      <c r="S46" s="4"/>
      <c r="Y46" s="4"/>
    </row>
    <row r="47" spans="1:25" ht="15" x14ac:dyDescent="0.25">
      <c r="A47" s="1">
        <v>1999</v>
      </c>
      <c r="B47" s="15">
        <f>Kokonaistuottavuus!B48</f>
        <v>131.27067</v>
      </c>
      <c r="C47" s="55">
        <f>EXP(Kokonaistuottavuus!H48)*Pääoma!B47^0.35*Työvoimapanos!K47^0.65</f>
        <v>129.30751171819804</v>
      </c>
      <c r="D47" s="12">
        <f t="shared" si="4"/>
        <v>1.5182090009436537E-2</v>
      </c>
      <c r="E47" s="95">
        <f t="shared" si="7"/>
        <v>3.9083739732500775E-2</v>
      </c>
      <c r="F47" s="95">
        <f t="shared" si="8"/>
        <v>4.0739639740671858E-2</v>
      </c>
      <c r="G47" s="11"/>
      <c r="H47" s="15">
        <f>Kokonaistuottavuus!J48</f>
        <v>131.27039094953312</v>
      </c>
      <c r="I47" s="55">
        <f>EXP(Kokonaistuottavuus!P48)*Pääoma!F47^0.35*Työvoimapanos!V47^0.65</f>
        <v>129.31184690375147</v>
      </c>
      <c r="J47" s="12">
        <f t="shared" ref="J47:J65" si="11">(H47-I47)/I47</f>
        <v>1.5145898018450087E-2</v>
      </c>
      <c r="K47" s="95">
        <f t="shared" si="9"/>
        <v>3.9080511916185501E-2</v>
      </c>
      <c r="L47" s="95">
        <f t="shared" si="10"/>
        <v>4.0337255559513049E-2</v>
      </c>
      <c r="M47" s="4"/>
      <c r="N47" s="12">
        <f t="shared" ref="N47:N68" si="12">(B47-H47)/H47</f>
        <v>2.1257685366356371E-6</v>
      </c>
      <c r="O47" s="12">
        <f t="shared" ref="O47:O68" si="13">(C47-I47)/I47</f>
        <v>-3.3525045517727745E-5</v>
      </c>
      <c r="P47" s="12">
        <f t="shared" ref="P47:P68" si="14">(D47-J47)</f>
        <v>3.619199098645054E-5</v>
      </c>
      <c r="Q47" s="95">
        <f t="shared" si="5"/>
        <v>3.2278163152738015E-6</v>
      </c>
      <c r="R47" s="95">
        <f t="shared" si="6"/>
        <v>4.0238418115880886E-4</v>
      </c>
      <c r="S47" s="4"/>
      <c r="Y47" s="4"/>
    </row>
    <row r="48" spans="1:25" ht="15" x14ac:dyDescent="0.25">
      <c r="A48" s="1">
        <v>2000</v>
      </c>
      <c r="B48" s="15">
        <f>Kokonaistuottavuus!B49</f>
        <v>138.25918999999999</v>
      </c>
      <c r="C48" s="55">
        <f>EXP(Kokonaistuottavuus!H49)*Pääoma!B48^0.35*Työvoimapanos!K48^0.65</f>
        <v>134.59514302606155</v>
      </c>
      <c r="D48" s="12">
        <f t="shared" si="4"/>
        <v>2.7222728038774575E-2</v>
      </c>
      <c r="E48" s="95">
        <f t="shared" si="7"/>
        <v>5.3237482523704603E-2</v>
      </c>
      <c r="F48" s="95">
        <f t="shared" si="8"/>
        <v>4.0891911363872865E-2</v>
      </c>
      <c r="G48" s="11"/>
      <c r="H48" s="15">
        <f>Kokonaistuottavuus!J49</f>
        <v>138.25883403347456</v>
      </c>
      <c r="I48" s="55">
        <f>EXP(Kokonaistuottavuus!P49)*Pääoma!F48^0.35*Työvoimapanos!V48^0.65</f>
        <v>134.5542791696918</v>
      </c>
      <c r="J48" s="12">
        <f t="shared" si="11"/>
        <v>2.7532047933687773E-2</v>
      </c>
      <c r="K48" s="95">
        <f t="shared" si="9"/>
        <v>5.3237009758187882E-2</v>
      </c>
      <c r="L48" s="95">
        <f t="shared" si="10"/>
        <v>4.0541005263364113E-2</v>
      </c>
      <c r="M48" s="4"/>
      <c r="N48" s="12">
        <f t="shared" si="12"/>
        <v>2.5746385605039884E-6</v>
      </c>
      <c r="O48" s="12">
        <f t="shared" si="13"/>
        <v>3.0369793232825097E-4</v>
      </c>
      <c r="P48" s="12">
        <f t="shared" si="14"/>
        <v>-3.0931989491319797E-4</v>
      </c>
      <c r="Q48" s="95">
        <f t="shared" ref="Q48:Q68" si="15">E48-K48</f>
        <v>4.727655167208189E-7</v>
      </c>
      <c r="R48" s="95">
        <f t="shared" ref="R48:R68" si="16">F48-L48</f>
        <v>3.5090610050875215E-4</v>
      </c>
      <c r="S48" s="4"/>
      <c r="Y48" s="4"/>
    </row>
    <row r="49" spans="1:25" ht="15" x14ac:dyDescent="0.25">
      <c r="A49" s="1">
        <v>2001</v>
      </c>
      <c r="B49" s="15">
        <f>Kokonaistuottavuus!B50</f>
        <v>141.41668000000001</v>
      </c>
      <c r="C49" s="55">
        <f>EXP(Kokonaistuottavuus!H50)*Pääoma!B49^0.35*Työvoimapanos!K49^0.65</f>
        <v>139.9011300811608</v>
      </c>
      <c r="D49" s="12">
        <f t="shared" si="4"/>
        <v>1.083300698114445E-2</v>
      </c>
      <c r="E49" s="95">
        <f t="shared" si="7"/>
        <v>2.2837469248879763E-2</v>
      </c>
      <c r="F49" s="95">
        <f t="shared" si="8"/>
        <v>3.9421831544633502E-2</v>
      </c>
      <c r="G49" s="11"/>
      <c r="H49" s="15">
        <f>Kokonaistuottavuus!J50</f>
        <v>141.41631669126843</v>
      </c>
      <c r="I49" s="55">
        <f>EXP(Kokonaistuottavuus!P50)*Pääoma!F49^0.35*Työvoimapanos!V49^0.65</f>
        <v>139.81350292519932</v>
      </c>
      <c r="J49" s="12">
        <f t="shared" si="11"/>
        <v>1.1463941125390651E-2</v>
      </c>
      <c r="K49" s="95">
        <f t="shared" si="9"/>
        <v>2.2837474942320166E-2</v>
      </c>
      <c r="L49" s="95">
        <f t="shared" si="10"/>
        <v>3.9086261603578601E-2</v>
      </c>
      <c r="M49" s="4"/>
      <c r="N49" s="12">
        <f t="shared" si="12"/>
        <v>2.5690722264548541E-6</v>
      </c>
      <c r="O49" s="12">
        <f t="shared" si="13"/>
        <v>6.2674315518985156E-4</v>
      </c>
      <c r="P49" s="12">
        <f t="shared" si="14"/>
        <v>-6.3093414424620145E-4</v>
      </c>
      <c r="Q49" s="95">
        <f t="shared" si="15"/>
        <v>-5.6934404031594443E-9</v>
      </c>
      <c r="R49" s="95">
        <f t="shared" si="16"/>
        <v>3.3556994105490151E-4</v>
      </c>
      <c r="S49" s="4"/>
      <c r="Y49" s="4"/>
    </row>
    <row r="50" spans="1:25" ht="15" x14ac:dyDescent="0.25">
      <c r="A50" s="1">
        <v>2002</v>
      </c>
      <c r="B50" s="15">
        <f>Kokonaistuottavuus!B51</f>
        <v>144.01044999999999</v>
      </c>
      <c r="C50" s="55">
        <f>EXP(Kokonaistuottavuus!H51)*Pääoma!B50^0.35*Työvoimapanos!K50^0.65</f>
        <v>144.61001449391028</v>
      </c>
      <c r="D50" s="12">
        <f t="shared" si="4"/>
        <v>-4.1460786516658672E-3</v>
      </c>
      <c r="E50" s="95">
        <f t="shared" si="7"/>
        <v>1.8341330032638142E-2</v>
      </c>
      <c r="F50" s="95">
        <f t="shared" si="8"/>
        <v>3.3658658868714782E-2</v>
      </c>
      <c r="G50" s="11"/>
      <c r="H50" s="15">
        <f>Kokonaistuottavuus!J51</f>
        <v>144.01035760271142</v>
      </c>
      <c r="I50" s="55">
        <f>EXP(Kokonaistuottavuus!P51)*Pääoma!F50^0.35*Työvoimapanos!V50^0.65</f>
        <v>144.5100820074384</v>
      </c>
      <c r="J50" s="12">
        <f t="shared" si="11"/>
        <v>-3.4580591041478586E-3</v>
      </c>
      <c r="K50" s="95">
        <f t="shared" si="9"/>
        <v>1.8343292854290229E-2</v>
      </c>
      <c r="L50" s="95">
        <f t="shared" si="10"/>
        <v>3.3591741741509529E-2</v>
      </c>
      <c r="M50" s="4"/>
      <c r="N50" s="12">
        <f t="shared" si="12"/>
        <v>6.4160168828683702E-7</v>
      </c>
      <c r="O50" s="12">
        <f t="shared" si="13"/>
        <v>6.9152605191063381E-4</v>
      </c>
      <c r="P50" s="12">
        <f t="shared" si="14"/>
        <v>-6.8801954751800858E-4</v>
      </c>
      <c r="Q50" s="95">
        <f t="shared" si="15"/>
        <v>-1.9628216520878317E-6</v>
      </c>
      <c r="R50" s="95">
        <f t="shared" si="16"/>
        <v>6.6917127205252946E-5</v>
      </c>
      <c r="S50" s="4"/>
      <c r="Y50" s="4"/>
    </row>
    <row r="51" spans="1:25" ht="15" x14ac:dyDescent="0.25">
      <c r="A51" s="1">
        <v>2003</v>
      </c>
      <c r="B51" s="15">
        <f>Kokonaistuottavuus!B52</f>
        <v>146.90855999999999</v>
      </c>
      <c r="C51" s="55">
        <f>EXP(Kokonaistuottavuus!H52)*Pääoma!B51^0.35*Työvoimapanos!K51^0.65</f>
        <v>149.14629655585392</v>
      </c>
      <c r="D51" s="12">
        <f t="shared" si="4"/>
        <v>-1.5003634736688995E-2</v>
      </c>
      <c r="E51" s="95">
        <f t="shared" si="7"/>
        <v>2.0124303479365578E-2</v>
      </c>
      <c r="F51" s="95">
        <f t="shared" si="8"/>
        <v>3.1369072728601836E-2</v>
      </c>
      <c r="G51" s="11"/>
      <c r="H51" s="15">
        <f>Kokonaistuottavuus!J52</f>
        <v>146.90869449934326</v>
      </c>
      <c r="I51" s="55">
        <f>EXP(Kokonaistuottavuus!P52)*Pääoma!F51^0.35*Työvoimapanos!V51^0.65</f>
        <v>149.03119641997847</v>
      </c>
      <c r="J51" s="12">
        <f t="shared" si="11"/>
        <v>-1.4241997458397123E-2</v>
      </c>
      <c r="K51" s="95">
        <f t="shared" si="9"/>
        <v>2.0125891948880644E-2</v>
      </c>
      <c r="L51" s="95">
        <f t="shared" si="10"/>
        <v>3.1285806150932474E-2</v>
      </c>
      <c r="M51" s="4"/>
      <c r="N51" s="12">
        <f t="shared" si="12"/>
        <v>-9.1553017824715686E-7</v>
      </c>
      <c r="O51" s="12">
        <f t="shared" si="13"/>
        <v>7.7232243074190003E-4</v>
      </c>
      <c r="P51" s="12">
        <f t="shared" si="14"/>
        <v>-7.6163727829187122E-4</v>
      </c>
      <c r="Q51" s="95">
        <f t="shared" si="15"/>
        <v>-1.5884695150659989E-6</v>
      </c>
      <c r="R51" s="95">
        <f t="shared" si="16"/>
        <v>8.3266577669362241E-5</v>
      </c>
      <c r="S51" s="4"/>
      <c r="Y51" s="4"/>
    </row>
    <row r="52" spans="1:25" ht="15" x14ac:dyDescent="0.25">
      <c r="A52" s="1">
        <v>2004</v>
      </c>
      <c r="B52" s="15">
        <f>Kokonaistuottavuus!B53</f>
        <v>152.96834999999999</v>
      </c>
      <c r="C52" s="55">
        <f>EXP(Kokonaistuottavuus!H53)*Pääoma!B52^0.35*Työvoimapanos!K52^0.65</f>
        <v>153.55216049311355</v>
      </c>
      <c r="D52" s="12">
        <f t="shared" si="4"/>
        <v>-3.8020337274234763E-3</v>
      </c>
      <c r="E52" s="95">
        <f t="shared" si="7"/>
        <v>4.1248719611709436E-2</v>
      </c>
      <c r="F52" s="95">
        <f t="shared" si="8"/>
        <v>2.9540552055274595E-2</v>
      </c>
      <c r="G52" s="11"/>
      <c r="H52" s="15">
        <f>Kokonaistuottavuus!J53</f>
        <v>152.96851973729972</v>
      </c>
      <c r="I52" s="55">
        <f>EXP(Kokonaistuottavuus!P53)*Pääoma!F52^0.35*Työvoimapanos!V52^0.65</f>
        <v>153.43292242218214</v>
      </c>
      <c r="J52" s="12">
        <f t="shared" si="11"/>
        <v>-3.0267473078860545E-3</v>
      </c>
      <c r="K52" s="95">
        <f t="shared" si="9"/>
        <v>4.1248921710236489E-2</v>
      </c>
      <c r="L52" s="95">
        <f t="shared" si="10"/>
        <v>2.9535601323358883E-2</v>
      </c>
      <c r="M52" s="4"/>
      <c r="N52" s="12">
        <f t="shared" si="12"/>
        <v>-1.1096224244044823E-6</v>
      </c>
      <c r="O52" s="12">
        <f t="shared" si="13"/>
        <v>7.7713484856470252E-4</v>
      </c>
      <c r="P52" s="12">
        <f t="shared" si="14"/>
        <v>-7.7528641953742176E-4</v>
      </c>
      <c r="Q52" s="95">
        <f t="shared" si="15"/>
        <v>-2.0209852705233011E-7</v>
      </c>
      <c r="R52" s="95">
        <f t="shared" si="16"/>
        <v>4.9507319157121588E-6</v>
      </c>
      <c r="S52" s="4"/>
      <c r="Y52" s="4"/>
    </row>
    <row r="53" spans="1:25" ht="15" x14ac:dyDescent="0.25">
      <c r="A53" s="1">
        <v>2005</v>
      </c>
      <c r="B53" s="15">
        <f>Kokonaistuottavuus!B54</f>
        <v>157.429</v>
      </c>
      <c r="C53" s="55">
        <f>EXP(Kokonaistuottavuus!H54)*Pääoma!B53^0.35*Työvoimapanos!K53^0.65</f>
        <v>157.68214535109593</v>
      </c>
      <c r="D53" s="12">
        <f t="shared" si="4"/>
        <v>-1.6054154421368952E-3</v>
      </c>
      <c r="E53" s="95">
        <f t="shared" si="7"/>
        <v>2.9160607406695672E-2</v>
      </c>
      <c r="F53" s="95">
        <f t="shared" si="8"/>
        <v>2.6896299242677207E-2</v>
      </c>
      <c r="G53" s="11"/>
      <c r="H53" s="15">
        <f>Kokonaistuottavuus!J54</f>
        <v>157.429</v>
      </c>
      <c r="I53" s="55">
        <f>EXP(Kokonaistuottavuus!P54)*Pääoma!F53^0.35*Työvoimapanos!V53^0.65</f>
        <v>157.56143745320136</v>
      </c>
      <c r="J53" s="12">
        <f t="shared" si="11"/>
        <v>-8.4054483979113532E-4</v>
      </c>
      <c r="K53" s="95">
        <f t="shared" si="9"/>
        <v>2.915946542700738E-2</v>
      </c>
      <c r="L53" s="95">
        <f t="shared" si="10"/>
        <v>2.6907621687992763E-2</v>
      </c>
      <c r="M53" s="4"/>
      <c r="N53" s="12">
        <f t="shared" si="12"/>
        <v>0</v>
      </c>
      <c r="O53" s="12">
        <f t="shared" si="13"/>
        <v>7.661005119378539E-4</v>
      </c>
      <c r="P53" s="12">
        <f t="shared" si="14"/>
        <v>-7.6487060234575993E-4</v>
      </c>
      <c r="Q53" s="95">
        <f t="shared" si="15"/>
        <v>1.1419796882919386E-6</v>
      </c>
      <c r="R53" s="95">
        <f t="shared" si="16"/>
        <v>-1.1322445315556373E-5</v>
      </c>
      <c r="S53" s="4"/>
      <c r="Y53" s="4"/>
    </row>
    <row r="54" spans="1:25" ht="15" x14ac:dyDescent="0.25">
      <c r="A54" s="1">
        <v>2006</v>
      </c>
      <c r="B54" s="15">
        <f>Kokonaistuottavuus!B55</f>
        <v>164.37254999999999</v>
      </c>
      <c r="C54" s="55">
        <f>EXP(Kokonaistuottavuus!H55)*Pääoma!B54^0.35*Työvoimapanos!K54^0.65</f>
        <v>161.50667879879313</v>
      </c>
      <c r="D54" s="12">
        <f t="shared" si="4"/>
        <v>1.774459869103737E-2</v>
      </c>
      <c r="E54" s="95">
        <f t="shared" si="7"/>
        <v>4.4105914412211143E-2</v>
      </c>
      <c r="F54" s="95">
        <f t="shared" si="8"/>
        <v>2.4254702009422049E-2</v>
      </c>
      <c r="G54" s="11"/>
      <c r="H54" s="15">
        <f>Kokonaistuottavuus!J55</f>
        <v>164.37300405176862</v>
      </c>
      <c r="I54" s="55">
        <f>EXP(Kokonaistuottavuus!P55)*Pääoma!F54^0.35*Työvoimapanos!V54^0.65</f>
        <v>161.38139143084197</v>
      </c>
      <c r="J54" s="12">
        <f t="shared" si="11"/>
        <v>1.8537531461356029E-2</v>
      </c>
      <c r="K54" s="95">
        <f t="shared" si="9"/>
        <v>4.4108798580748246E-2</v>
      </c>
      <c r="L54" s="95">
        <f t="shared" si="10"/>
        <v>2.424421888620561E-2</v>
      </c>
      <c r="M54" s="4"/>
      <c r="N54" s="12">
        <f t="shared" si="12"/>
        <v>-2.7623256704915099E-6</v>
      </c>
      <c r="O54" s="12">
        <f t="shared" si="13"/>
        <v>7.7634333698783258E-4</v>
      </c>
      <c r="P54" s="12">
        <f t="shared" si="14"/>
        <v>-7.9293277031865922E-4</v>
      </c>
      <c r="Q54" s="95">
        <f t="shared" si="15"/>
        <v>-2.8841685371025494E-6</v>
      </c>
      <c r="R54" s="95">
        <f t="shared" si="16"/>
        <v>1.0483123216439155E-5</v>
      </c>
      <c r="S54" s="4"/>
      <c r="Y54" s="4"/>
    </row>
    <row r="55" spans="1:25" ht="15" x14ac:dyDescent="0.25">
      <c r="A55" s="1">
        <v>2007</v>
      </c>
      <c r="B55" s="15">
        <f>Kokonaistuottavuus!B56</f>
        <v>173.1422</v>
      </c>
      <c r="C55" s="55">
        <f>EXP(Kokonaistuottavuus!H56)*Pääoma!B55^0.35*Työvoimapanos!K55^0.65</f>
        <v>165.17293125775328</v>
      </c>
      <c r="D55" s="12">
        <f t="shared" si="4"/>
        <v>4.8248031209246013E-2</v>
      </c>
      <c r="E55" s="95">
        <f t="shared" si="7"/>
        <v>5.3352278102396129E-2</v>
      </c>
      <c r="F55" s="95">
        <f t="shared" si="8"/>
        <v>2.2700314849069515E-2</v>
      </c>
      <c r="G55" s="11"/>
      <c r="H55" s="15">
        <f>Kokonaistuottavuus!J56</f>
        <v>173.14274217985536</v>
      </c>
      <c r="I55" s="55">
        <f>EXP(Kokonaistuottavuus!P56)*Pääoma!F55^0.35*Työvoimapanos!V55^0.65</f>
        <v>165.03173049291181</v>
      </c>
      <c r="J55" s="12">
        <f t="shared" si="11"/>
        <v>4.9148195093863645E-2</v>
      </c>
      <c r="K55" s="95">
        <f t="shared" si="9"/>
        <v>5.335266687299059E-2</v>
      </c>
      <c r="L55" s="95">
        <f t="shared" si="10"/>
        <v>2.2619330702909082E-2</v>
      </c>
      <c r="M55" s="4"/>
      <c r="N55" s="12">
        <f t="shared" si="12"/>
        <v>-3.1314038840578539E-6</v>
      </c>
      <c r="O55" s="12">
        <f t="shared" si="13"/>
        <v>8.5559767457892661E-4</v>
      </c>
      <c r="P55" s="12">
        <f t="shared" si="14"/>
        <v>-9.0016388461763158E-4</v>
      </c>
      <c r="Q55" s="95">
        <f t="shared" si="15"/>
        <v>-3.8877059446024154E-7</v>
      </c>
      <c r="R55" s="95">
        <f t="shared" si="16"/>
        <v>8.0984146160433673E-5</v>
      </c>
      <c r="S55" s="4"/>
      <c r="Y55" s="4"/>
    </row>
    <row r="56" spans="1:25" ht="15" x14ac:dyDescent="0.25">
      <c r="A56" s="1">
        <v>2008</v>
      </c>
      <c r="B56" s="15">
        <f>Kokonaistuottavuus!B57</f>
        <v>173.65048999999999</v>
      </c>
      <c r="C56" s="55">
        <f>EXP(Kokonaistuottavuus!H57)*Pääoma!B56^0.35*Työvoimapanos!K56^0.65</f>
        <v>167.71888604669667</v>
      </c>
      <c r="D56" s="12">
        <f t="shared" si="4"/>
        <v>3.5366344799427255E-2</v>
      </c>
      <c r="E56" s="95">
        <f t="shared" si="7"/>
        <v>2.9356794588493627E-3</v>
      </c>
      <c r="F56" s="95">
        <f t="shared" si="8"/>
        <v>1.5413874232033904E-2</v>
      </c>
      <c r="G56" s="11"/>
      <c r="H56" s="15">
        <f>Kokonaistuottavuus!J57</f>
        <v>173.65109793363055</v>
      </c>
      <c r="I56" s="55">
        <f>EXP(Kokonaistuottavuus!P57)*Pääoma!F56^0.35*Työvoimapanos!V56^0.65</f>
        <v>167.56859021554922</v>
      </c>
      <c r="J56" s="12">
        <f t="shared" si="11"/>
        <v>3.629861485530906E-2</v>
      </c>
      <c r="K56" s="95">
        <f t="shared" si="9"/>
        <v>2.9360500323318615E-3</v>
      </c>
      <c r="L56" s="95">
        <f t="shared" si="10"/>
        <v>1.5371951291187458E-2</v>
      </c>
      <c r="M56" s="4"/>
      <c r="N56" s="12">
        <f t="shared" si="12"/>
        <v>-3.5008913723892873E-6</v>
      </c>
      <c r="O56" s="12">
        <f t="shared" si="13"/>
        <v>8.9692126044693188E-4</v>
      </c>
      <c r="P56" s="12">
        <f t="shared" si="14"/>
        <v>-9.3227005588180506E-4</v>
      </c>
      <c r="Q56" s="95">
        <f t="shared" si="15"/>
        <v>-3.7057348249887323E-7</v>
      </c>
      <c r="R56" s="95">
        <f t="shared" si="16"/>
        <v>4.1922940846445683E-5</v>
      </c>
      <c r="S56" s="4"/>
      <c r="Y56" s="4"/>
    </row>
    <row r="57" spans="1:25" ht="15" x14ac:dyDescent="0.25">
      <c r="A57" s="1">
        <v>2009</v>
      </c>
      <c r="B57" s="15">
        <f>Kokonaistuottavuus!B58</f>
        <v>158.82315</v>
      </c>
      <c r="C57" s="55">
        <f>EXP(Kokonaistuottavuus!H58)*Pääoma!B57^0.35*Työvoimapanos!K57^0.65</f>
        <v>168.18322545883754</v>
      </c>
      <c r="D57" s="12">
        <f t="shared" si="4"/>
        <v>-5.5654037037887585E-2</v>
      </c>
      <c r="E57" s="95">
        <f t="shared" si="7"/>
        <v>-8.5386110917395008E-2</v>
      </c>
      <c r="F57" s="95">
        <f t="shared" si="8"/>
        <v>2.7685576924926084E-3</v>
      </c>
      <c r="G57" s="11"/>
      <c r="H57" s="15">
        <f>Kokonaistuottavuus!J58</f>
        <v>158.82337529944482</v>
      </c>
      <c r="I57" s="55">
        <f>EXP(Kokonaistuottavuus!P58)*Pääoma!F57^0.35*Työvoimapanos!V57^0.65</f>
        <v>168.06992245128725</v>
      </c>
      <c r="J57" s="12">
        <f t="shared" si="11"/>
        <v>-5.5016073173487771E-2</v>
      </c>
      <c r="K57" s="95">
        <f t="shared" si="9"/>
        <v>-8.5388015455294661E-2</v>
      </c>
      <c r="L57" s="95">
        <f t="shared" si="10"/>
        <v>2.9918031481505716E-3</v>
      </c>
      <c r="M57" s="4"/>
      <c r="N57" s="12">
        <f t="shared" si="12"/>
        <v>-1.4185534364606253E-6</v>
      </c>
      <c r="O57" s="12">
        <f t="shared" si="13"/>
        <v>6.7414208263899924E-4</v>
      </c>
      <c r="P57" s="12">
        <f t="shared" si="14"/>
        <v>-6.3796386439981395E-4</v>
      </c>
      <c r="Q57" s="95">
        <f t="shared" si="15"/>
        <v>1.9045378996523921E-6</v>
      </c>
      <c r="R57" s="95">
        <f t="shared" si="16"/>
        <v>-2.2324545565796314E-4</v>
      </c>
      <c r="S57" s="4"/>
      <c r="T57" s="15">
        <f t="shared" ref="T57:T68" si="17">(B57+H57)/2</f>
        <v>158.82326264972241</v>
      </c>
      <c r="U57" s="15">
        <f t="shared" ref="U57:U68" si="18">(C57+I57)/2</f>
        <v>168.12657395506238</v>
      </c>
      <c r="Y57" s="4"/>
    </row>
    <row r="58" spans="1:25" ht="15" x14ac:dyDescent="0.25">
      <c r="A58" s="1">
        <v>2010</v>
      </c>
      <c r="B58" s="15">
        <f>Kokonaistuottavuus!B59</f>
        <v>164.16442000000001</v>
      </c>
      <c r="C58" s="55">
        <f>EXP(Kokonaistuottavuus!H59)*Pääoma!B58^0.35*Työvoimapanos!K58^0.65</f>
        <v>168.61764492117521</v>
      </c>
      <c r="D58" s="12">
        <f t="shared" si="4"/>
        <v>-2.6410195227533774E-2</v>
      </c>
      <c r="E58" s="95">
        <f t="shared" si="7"/>
        <v>3.3630298857565841E-2</v>
      </c>
      <c r="F58" s="95">
        <f t="shared" si="8"/>
        <v>2.5830130273247461E-3</v>
      </c>
      <c r="G58" s="11"/>
      <c r="H58" s="15">
        <f>Kokonaistuottavuus!J59</f>
        <v>164.16455162761332</v>
      </c>
      <c r="I58" s="55">
        <f>EXP(Kokonaistuottavuus!P59)*Pääoma!F58^0.35*Työvoimapanos!V58^0.65</f>
        <v>168.51408573511483</v>
      </c>
      <c r="J58" s="12">
        <f>(H58-I58)/I58</f>
        <v>-2.5811101122659205E-2</v>
      </c>
      <c r="K58" s="95">
        <f t="shared" si="9"/>
        <v>3.3629661365011748E-2</v>
      </c>
      <c r="L58" s="95">
        <f t="shared" si="10"/>
        <v>2.6427291531375139E-3</v>
      </c>
      <c r="M58" s="4"/>
      <c r="N58" s="12">
        <f t="shared" si="12"/>
        <v>-8.0180289842625654E-7</v>
      </c>
      <c r="O58" s="12">
        <f t="shared" si="13"/>
        <v>6.1454320336855133E-4</v>
      </c>
      <c r="P58" s="12">
        <f t="shared" si="14"/>
        <v>-5.9909410487456877E-4</v>
      </c>
      <c r="Q58" s="95">
        <f t="shared" si="15"/>
        <v>6.3749255409251138E-7</v>
      </c>
      <c r="R58" s="95">
        <f t="shared" si="16"/>
        <v>-5.9716125812767779E-5</v>
      </c>
      <c r="S58" s="4"/>
      <c r="T58" s="15">
        <f t="shared" si="17"/>
        <v>164.16448581380666</v>
      </c>
      <c r="U58" s="15">
        <f t="shared" si="18"/>
        <v>168.56586532814504</v>
      </c>
      <c r="V58" s="95">
        <f>(T58-U58)/U58</f>
        <v>-2.6110740189125854E-2</v>
      </c>
      <c r="W58" s="95">
        <f>(T58-T57)/T57</f>
        <v>3.3629980111062718E-2</v>
      </c>
      <c r="X58" s="95">
        <f>(U58-U57)/U57</f>
        <v>2.6128610293341807E-3</v>
      </c>
      <c r="Y58" s="4"/>
    </row>
    <row r="59" spans="1:25" ht="15" x14ac:dyDescent="0.25">
      <c r="A59" s="1">
        <v>2011</v>
      </c>
      <c r="B59" s="15">
        <f>Kokonaistuottavuus!B60</f>
        <v>168.80181999999999</v>
      </c>
      <c r="C59" s="55">
        <f>EXP(Kokonaistuottavuus!H60)*Pääoma!B59^0.35*Työvoimapanos!K59^0.65</f>
        <v>169.2166643991383</v>
      </c>
      <c r="D59" s="12">
        <f t="shared" si="4"/>
        <v>-2.4515575969503382E-3</v>
      </c>
      <c r="E59" s="95">
        <f t="shared" si="7"/>
        <v>2.8248508416135392E-2</v>
      </c>
      <c r="F59" s="95">
        <f t="shared" si="8"/>
        <v>3.5525313987341605E-3</v>
      </c>
      <c r="G59" s="11"/>
      <c r="H59" s="15">
        <f>Kokonaistuottavuus!J60</f>
        <v>168.80192697827644</v>
      </c>
      <c r="I59" s="55">
        <f>EXP(Kokonaistuottavuus!P60)*Pääoma!F59^0.35*Työvoimapanos!V59^0.65</f>
        <v>169.13771427573849</v>
      </c>
      <c r="J59" s="12">
        <f t="shared" si="11"/>
        <v>-1.9852893182334664E-3</v>
      </c>
      <c r="K59" s="95">
        <f t="shared" si="9"/>
        <v>2.8248335616220147E-2</v>
      </c>
      <c r="L59" s="95">
        <f t="shared" si="10"/>
        <v>3.7007502245475785E-3</v>
      </c>
      <c r="M59" s="4"/>
      <c r="N59" s="12">
        <f t="shared" si="12"/>
        <v>-6.3375032716697856E-7</v>
      </c>
      <c r="O59" s="12">
        <f t="shared" si="13"/>
        <v>4.6678012492883418E-4</v>
      </c>
      <c r="P59" s="12">
        <f t="shared" si="14"/>
        <v>-4.6626827871687178E-4</v>
      </c>
      <c r="Q59" s="95">
        <f t="shared" si="15"/>
        <v>1.7279991524482563E-7</v>
      </c>
      <c r="R59" s="95">
        <f t="shared" si="16"/>
        <v>-1.4821882581341796E-4</v>
      </c>
      <c r="S59" s="4"/>
      <c r="T59" s="15">
        <f t="shared" si="17"/>
        <v>168.80187348913822</v>
      </c>
      <c r="U59" s="15">
        <f t="shared" si="18"/>
        <v>169.17718933743839</v>
      </c>
      <c r="V59" s="95">
        <f t="shared" ref="V59:V65" si="19">(T59-U59)/U59</f>
        <v>-2.2184778560871816E-3</v>
      </c>
      <c r="W59" s="95">
        <f t="shared" ref="W59:W65" si="20">(T59-T58)/T58</f>
        <v>2.8248422016143131E-2</v>
      </c>
      <c r="X59" s="95">
        <f t="shared" ref="X59:X65" si="21">(U59-U58)/U58</f>
        <v>3.6266180469177343E-3</v>
      </c>
      <c r="Y59" s="4"/>
    </row>
    <row r="60" spans="1:25" ht="15" x14ac:dyDescent="0.25">
      <c r="A60" s="1">
        <v>2012</v>
      </c>
      <c r="B60" s="15">
        <f>Kokonaistuottavuus!B61</f>
        <v>167.10019</v>
      </c>
      <c r="C60" s="55">
        <f>EXP(Kokonaistuottavuus!H61)*Pääoma!B60^0.35*Työvoimapanos!K60^0.65</f>
        <v>169.61235731265387</v>
      </c>
      <c r="D60" s="12">
        <f t="shared" si="4"/>
        <v>-1.4811228099513319E-2</v>
      </c>
      <c r="E60" s="95">
        <f t="shared" si="7"/>
        <v>-1.0080637756156863E-2</v>
      </c>
      <c r="F60" s="95">
        <f t="shared" si="8"/>
        <v>2.3383802944031418E-3</v>
      </c>
      <c r="G60" s="11"/>
      <c r="H60" s="15">
        <f>Kokonaistuottavuus!J61</f>
        <v>167.10030097567633</v>
      </c>
      <c r="I60" s="55">
        <f>EXP(Kokonaistuottavuus!P61)*Pääoma!F60^0.35*Työvoimapanos!V60^0.65</f>
        <v>169.61251945430723</v>
      </c>
      <c r="J60" s="12">
        <f t="shared" si="11"/>
        <v>-1.4811515604587657E-2</v>
      </c>
      <c r="K60" s="95">
        <f t="shared" si="9"/>
        <v>-1.0080607686540772E-2</v>
      </c>
      <c r="L60" s="95">
        <f t="shared" si="10"/>
        <v>2.8072105656736482E-3</v>
      </c>
      <c r="M60" s="4"/>
      <c r="N60" s="12">
        <f t="shared" si="12"/>
        <v>-6.641261307584973E-7</v>
      </c>
      <c r="O60" s="12">
        <f t="shared" si="13"/>
        <v>-9.5595333342152791E-7</v>
      </c>
      <c r="P60" s="12">
        <f t="shared" si="14"/>
        <v>2.8750507433811245E-7</v>
      </c>
      <c r="Q60" s="95">
        <f t="shared" si="15"/>
        <v>-3.0069616090491746E-8</v>
      </c>
      <c r="R60" s="95">
        <f t="shared" si="16"/>
        <v>-4.6883027127050643E-4</v>
      </c>
      <c r="S60" s="4"/>
      <c r="T60" s="15">
        <f t="shared" si="17"/>
        <v>167.10024548783815</v>
      </c>
      <c r="U60" s="15">
        <f t="shared" si="18"/>
        <v>169.61243838348054</v>
      </c>
      <c r="V60" s="95">
        <f t="shared" si="19"/>
        <v>-1.48113718521192E-2</v>
      </c>
      <c r="W60" s="95">
        <f t="shared" si="20"/>
        <v>-1.0080622721344138E-2</v>
      </c>
      <c r="X60" s="95">
        <f t="shared" si="21"/>
        <v>2.5727407326409913E-3</v>
      </c>
      <c r="Y60" s="4"/>
    </row>
    <row r="61" spans="1:25" ht="15" x14ac:dyDescent="0.25">
      <c r="A61" s="1">
        <v>2013</v>
      </c>
      <c r="B61" s="15">
        <f>Kokonaistuottavuus!B62</f>
        <v>164.6724006</v>
      </c>
      <c r="C61" s="55">
        <f>EXP(Kokonaistuottavuus!H62)*Pääoma!B61^0.35*Työvoimapanos!K61^0.65</f>
        <v>169.44324341743075</v>
      </c>
      <c r="D61" s="12">
        <f t="shared" si="4"/>
        <v>-2.8155993247116793E-2</v>
      </c>
      <c r="E61" s="95">
        <f t="shared" si="7"/>
        <v>-1.4528944581092306E-2</v>
      </c>
      <c r="F61" s="95">
        <f t="shared" si="8"/>
        <v>-9.9706116878845613E-4</v>
      </c>
      <c r="G61" s="11"/>
      <c r="H61" s="15">
        <f>Kokonaistuottavuus!J62</f>
        <v>164.79416370724778</v>
      </c>
      <c r="I61" s="55">
        <f>EXP(Kokonaistuottavuus!P62)*Pääoma!F61^0.35*Työvoimapanos!V61^0.65</f>
        <v>169.86093598486713</v>
      </c>
      <c r="J61" s="12">
        <f t="shared" si="11"/>
        <v>-2.98289435898949E-2</v>
      </c>
      <c r="K61" s="95">
        <f t="shared" si="9"/>
        <v>-1.3800916305735716E-2</v>
      </c>
      <c r="L61" s="95">
        <f t="shared" si="10"/>
        <v>1.4646119953828981E-3</v>
      </c>
      <c r="M61" s="4"/>
      <c r="N61" s="12">
        <f t="shared" si="12"/>
        <v>-7.3887997310439775E-4</v>
      </c>
      <c r="O61" s="12">
        <f t="shared" si="13"/>
        <v>-2.4590266444404142E-3</v>
      </c>
      <c r="P61" s="12">
        <f t="shared" si="14"/>
        <v>1.6729503427781074E-3</v>
      </c>
      <c r="Q61" s="95">
        <f t="shared" si="15"/>
        <v>-7.2802827535659032E-4</v>
      </c>
      <c r="R61" s="95">
        <f t="shared" si="16"/>
        <v>-2.4616731641713542E-3</v>
      </c>
      <c r="S61" s="4"/>
      <c r="T61" s="15">
        <f t="shared" si="17"/>
        <v>164.73328215362389</v>
      </c>
      <c r="U61" s="15">
        <f t="shared" si="18"/>
        <v>169.65208970114895</v>
      </c>
      <c r="V61" s="95">
        <f t="shared" si="19"/>
        <v>-2.8993498141931525E-2</v>
      </c>
      <c r="W61" s="95">
        <f t="shared" si="20"/>
        <v>-1.4164930322538237E-2</v>
      </c>
      <c r="X61" s="95">
        <f t="shared" si="21"/>
        <v>2.3377600160883651E-4</v>
      </c>
      <c r="Y61" s="4"/>
    </row>
    <row r="62" spans="1:25" ht="15" x14ac:dyDescent="0.25">
      <c r="A62" s="97">
        <v>2014</v>
      </c>
      <c r="B62" s="15">
        <f>Kokonaistuottavuus!B63</f>
        <v>165.07555386000001</v>
      </c>
      <c r="C62" s="125">
        <f>EXP(Kokonaistuottavuus!H63)*Pääoma!B62^0.35*Työvoimapanos!K62^0.65</f>
        <v>169.48887712735126</v>
      </c>
      <c r="D62" s="99">
        <f t="shared" si="4"/>
        <v>-2.603901413563053E-2</v>
      </c>
      <c r="E62" s="95">
        <f t="shared" si="7"/>
        <v>2.4482138994214096E-3</v>
      </c>
      <c r="F62" s="95">
        <f t="shared" si="8"/>
        <v>2.6931560680816302E-4</v>
      </c>
      <c r="G62" s="11"/>
      <c r="H62" s="15">
        <f>Kokonaistuottavuus!J63</f>
        <v>165.57201112768507</v>
      </c>
      <c r="I62" s="55">
        <f>EXP(Kokonaistuottavuus!P63)*Pääoma!F62^0.35*Työvoimapanos!V62^0.65</f>
        <v>170.190844843512</v>
      </c>
      <c r="J62" s="12">
        <f t="shared" si="11"/>
        <v>-2.7139143236957746E-2</v>
      </c>
      <c r="K62" s="95">
        <f t="shared" si="9"/>
        <v>4.7201150995803539E-3</v>
      </c>
      <c r="L62" s="95">
        <f t="shared" si="10"/>
        <v>1.9422291342740623E-3</v>
      </c>
      <c r="M62" s="4"/>
      <c r="N62" s="12">
        <f t="shared" si="12"/>
        <v>-2.9984371410588457E-3</v>
      </c>
      <c r="O62" s="12">
        <f t="shared" si="13"/>
        <v>-4.1245915243336775E-3</v>
      </c>
      <c r="P62" s="12">
        <f t="shared" si="14"/>
        <v>1.1001291013272158E-3</v>
      </c>
      <c r="Q62" s="95">
        <f t="shared" si="15"/>
        <v>-2.2719012001589443E-3</v>
      </c>
      <c r="R62" s="95">
        <f t="shared" si="16"/>
        <v>-1.6729135274658993E-3</v>
      </c>
      <c r="S62" s="4"/>
      <c r="T62" s="15">
        <f t="shared" si="17"/>
        <v>165.32378249384254</v>
      </c>
      <c r="U62" s="15">
        <f t="shared" si="18"/>
        <v>169.83986098543164</v>
      </c>
      <c r="V62" s="95">
        <f t="shared" si="19"/>
        <v>-2.6590215426380234E-2</v>
      </c>
      <c r="W62" s="95">
        <f t="shared" si="20"/>
        <v>3.5845843201738428E-3</v>
      </c>
      <c r="X62" s="95">
        <f t="shared" si="21"/>
        <v>1.1068020713063923E-3</v>
      </c>
      <c r="Y62" s="4"/>
    </row>
    <row r="63" spans="1:25" ht="15" x14ac:dyDescent="0.25">
      <c r="A63" s="26">
        <v>2015</v>
      </c>
      <c r="B63" s="33">
        <f>Kokonaistuottavuus!B64</f>
        <v>167.15729135999999</v>
      </c>
      <c r="C63" s="127">
        <f>EXP(Kokonaistuottavuus!H64)*Pääoma!B63^0.35*Työvoimapanos!K63^0.65</f>
        <v>169.95175549397189</v>
      </c>
      <c r="D63" s="58">
        <f t="shared" si="4"/>
        <v>-1.6442690608576963E-2</v>
      </c>
      <c r="E63" s="58">
        <f t="shared" si="7"/>
        <v>1.2610816388751835E-2</v>
      </c>
      <c r="F63" s="58">
        <f t="shared" si="8"/>
        <v>2.7310250351875857E-3</v>
      </c>
      <c r="G63" s="11"/>
      <c r="H63" s="15">
        <f>Kokonaistuottavuus!J64</f>
        <v>167.80857394972006</v>
      </c>
      <c r="I63" s="55">
        <f>EXP(Kokonaistuottavuus!P64)*Pääoma!F63^0.35*Työvoimapanos!V63^0.65</f>
        <v>171.19323356637804</v>
      </c>
      <c r="J63" s="12">
        <f t="shared" si="11"/>
        <v>-1.9770989461132087E-2</v>
      </c>
      <c r="K63" s="95">
        <f t="shared" si="9"/>
        <v>1.3508097212820595E-2</v>
      </c>
      <c r="L63" s="95">
        <f t="shared" si="10"/>
        <v>5.8897922728318669E-3</v>
      </c>
      <c r="M63" s="4"/>
      <c r="N63" s="12">
        <f t="shared" si="12"/>
        <v>-3.8811043702404037E-3</v>
      </c>
      <c r="O63" s="12">
        <f t="shared" si="13"/>
        <v>-7.2519108760498137E-3</v>
      </c>
      <c r="P63" s="12">
        <f t="shared" si="14"/>
        <v>3.3282988525551241E-3</v>
      </c>
      <c r="Q63" s="95">
        <f t="shared" si="15"/>
        <v>-8.9728082406875971E-4</v>
      </c>
      <c r="R63" s="95">
        <f t="shared" si="16"/>
        <v>-3.1587672376442812E-3</v>
      </c>
      <c r="S63" s="4"/>
      <c r="T63" s="15">
        <f t="shared" si="17"/>
        <v>167.48293265486001</v>
      </c>
      <c r="U63" s="15">
        <f t="shared" si="18"/>
        <v>170.57249453017496</v>
      </c>
      <c r="V63" s="95">
        <f t="shared" si="19"/>
        <v>-1.8112896125631793E-2</v>
      </c>
      <c r="W63" s="95">
        <f t="shared" si="20"/>
        <v>1.3060130420726866E-2</v>
      </c>
      <c r="X63" s="95">
        <f t="shared" si="21"/>
        <v>4.3136725412544078E-3</v>
      </c>
      <c r="Y63" s="4"/>
    </row>
    <row r="64" spans="1:25" ht="15" x14ac:dyDescent="0.25">
      <c r="A64" s="1">
        <v>2016</v>
      </c>
      <c r="B64" s="15">
        <f>Kokonaistuottavuus!B65</f>
        <v>168.55021375314089</v>
      </c>
      <c r="C64" s="55">
        <f>EXP(Kokonaistuottavuus!H65)*Pääoma!B64^0.35*Työvoimapanos!K64^0.65</f>
        <v>170.41984310777877</v>
      </c>
      <c r="D64" s="12">
        <f t="shared" si="4"/>
        <v>-1.0970725712119499E-2</v>
      </c>
      <c r="E64" s="95">
        <f t="shared" si="7"/>
        <v>8.3330040933782875E-3</v>
      </c>
      <c r="F64" s="95">
        <f t="shared" si="8"/>
        <v>2.7542381803963754E-3</v>
      </c>
      <c r="G64" s="135"/>
      <c r="H64" s="33">
        <f>Kokonaistuottavuus!J65</f>
        <v>170.75082343495339</v>
      </c>
      <c r="I64" s="127">
        <f>EXP(Kokonaistuottavuus!P65)*Pääoma!F64^0.35*Työvoimapanos!V64^0.65</f>
        <v>172.17605807782977</v>
      </c>
      <c r="J64" s="58">
        <f t="shared" si="11"/>
        <v>-8.277774847372325E-3</v>
      </c>
      <c r="K64" s="58">
        <f t="shared" si="9"/>
        <v>1.753336802751753E-2</v>
      </c>
      <c r="L64" s="58">
        <f t="shared" si="10"/>
        <v>5.7410242856978716E-3</v>
      </c>
      <c r="M64" s="98"/>
      <c r="N64" s="99">
        <f t="shared" si="12"/>
        <v>-1.2887842281187036E-2</v>
      </c>
      <c r="O64" s="99">
        <f t="shared" si="13"/>
        <v>-1.0200111383994622E-2</v>
      </c>
      <c r="P64" s="99">
        <f t="shared" si="14"/>
        <v>-2.6929508647471744E-3</v>
      </c>
      <c r="Q64" s="95">
        <f t="shared" si="15"/>
        <v>-9.200363934139243E-3</v>
      </c>
      <c r="R64" s="95">
        <f t="shared" si="16"/>
        <v>-2.9867861053014962E-3</v>
      </c>
      <c r="S64" s="98"/>
      <c r="T64" s="15">
        <f t="shared" si="17"/>
        <v>169.65051859404713</v>
      </c>
      <c r="U64" s="15">
        <f t="shared" si="18"/>
        <v>171.29795059280428</v>
      </c>
      <c r="V64" s="95">
        <f t="shared" si="19"/>
        <v>-9.6173479779293972E-3</v>
      </c>
      <c r="W64" s="95">
        <f t="shared" si="20"/>
        <v>1.2942130310399846E-2</v>
      </c>
      <c r="X64" s="95">
        <f t="shared" si="21"/>
        <v>4.2530659156244195E-3</v>
      </c>
      <c r="Y64" s="4"/>
    </row>
    <row r="65" spans="1:25" ht="15" x14ac:dyDescent="0.25">
      <c r="A65" s="97">
        <v>2017</v>
      </c>
      <c r="B65" s="15">
        <f>Kokonaistuottavuus!B66</f>
        <v>170.18854697884191</v>
      </c>
      <c r="C65" s="55">
        <f>EXP(Kokonaistuottavuus!H66)*Pääoma!B65^0.35*Työvoimapanos!K65^0.65</f>
        <v>171.12370477514605</v>
      </c>
      <c r="D65" s="12">
        <f t="shared" si="4"/>
        <v>-5.4648056944122522E-3</v>
      </c>
      <c r="E65" s="95">
        <f t="shared" si="7"/>
        <v>9.7201492019495482E-3</v>
      </c>
      <c r="F65" s="95">
        <f t="shared" si="8"/>
        <v>4.130162629724602E-3</v>
      </c>
      <c r="G65" s="135"/>
      <c r="H65" s="15">
        <f>Kokonaistuottavuus!J66</f>
        <v>173.24378545710371</v>
      </c>
      <c r="I65" s="55">
        <f>EXP(Kokonaistuottavuus!P66)*Pääoma!F65^0.35*Työvoimapanos!V65^0.65</f>
        <v>173.68263358129593</v>
      </c>
      <c r="J65" s="99">
        <f t="shared" si="11"/>
        <v>-2.5267242621975034E-3</v>
      </c>
      <c r="K65" s="95">
        <f t="shared" si="9"/>
        <v>1.4600000000000019E-2</v>
      </c>
      <c r="L65" s="95">
        <f t="shared" si="10"/>
        <v>8.7502032529118545E-3</v>
      </c>
      <c r="M65" s="98"/>
      <c r="N65" s="99">
        <f t="shared" si="12"/>
        <v>-1.7635486722946816E-2</v>
      </c>
      <c r="O65" s="99">
        <f t="shared" si="13"/>
        <v>-1.4733360229433168E-2</v>
      </c>
      <c r="P65" s="99">
        <f t="shared" si="14"/>
        <v>-2.9380814322147487E-3</v>
      </c>
      <c r="Q65" s="95">
        <f t="shared" si="15"/>
        <v>-4.879850798050471E-3</v>
      </c>
      <c r="R65" s="95">
        <f t="shared" si="16"/>
        <v>-4.6200406231872524E-3</v>
      </c>
      <c r="S65" s="98"/>
      <c r="T65" s="15">
        <f t="shared" si="17"/>
        <v>171.71616621797281</v>
      </c>
      <c r="U65" s="15">
        <f t="shared" si="18"/>
        <v>172.40316917822099</v>
      </c>
      <c r="V65" s="95">
        <f t="shared" si="19"/>
        <v>-3.9848627117636867E-3</v>
      </c>
      <c r="W65" s="95">
        <f t="shared" si="20"/>
        <v>1.2175899260694428E-2</v>
      </c>
      <c r="X65" s="95">
        <f t="shared" si="21"/>
        <v>6.4520245665048532E-3</v>
      </c>
      <c r="Y65" s="4"/>
    </row>
    <row r="66" spans="1:25" s="140" customFormat="1" ht="15" x14ac:dyDescent="0.25">
      <c r="A66" s="97">
        <v>2018</v>
      </c>
      <c r="B66" s="73">
        <f>Kokonaistuottavuus!B67</f>
        <v>172.10909743257625</v>
      </c>
      <c r="C66" s="125">
        <f>EXP(Kokonaistuottavuus!H67)*Pääoma!B66^0.35*Työvoimapanos!K66^0.65</f>
        <v>172.09115023478691</v>
      </c>
      <c r="D66" s="99">
        <f>(B66-C66)/C66</f>
        <v>1.0428890599460973E-4</v>
      </c>
      <c r="E66" s="99">
        <f>(B66-B65)/B65</f>
        <v>1.1284839596010544E-2</v>
      </c>
      <c r="F66" s="99">
        <f>(C66-C65)/C65</f>
        <v>5.6534859440547135E-3</v>
      </c>
      <c r="G66" s="98"/>
      <c r="H66" s="73">
        <f>Kokonaistuottavuus!J67</f>
        <v>175.58257656077461</v>
      </c>
      <c r="I66" s="125">
        <f>EXP(Kokonaistuottavuus!P67)*Pääoma!F66^0.35*Työvoimapanos!V66^0.65</f>
        <v>175.65768940748359</v>
      </c>
      <c r="J66" s="99">
        <f>(H66-I66)/I66</f>
        <v>-4.2760921518631578E-4</v>
      </c>
      <c r="K66" s="99">
        <f>(H66-H65)/H65</f>
        <v>1.3499999999999998E-2</v>
      </c>
      <c r="L66" s="99">
        <f>(I66-I65)/I65</f>
        <v>1.1371636792133212E-2</v>
      </c>
      <c r="M66" s="98"/>
      <c r="N66" s="99">
        <f t="shared" si="12"/>
        <v>-1.9782595723534583E-2</v>
      </c>
      <c r="O66" s="99">
        <f t="shared" si="13"/>
        <v>-2.0303917151176718E-2</v>
      </c>
      <c r="P66" s="99">
        <f t="shared" si="14"/>
        <v>5.3189812118092548E-4</v>
      </c>
      <c r="Q66" s="99">
        <f t="shared" si="15"/>
        <v>-2.2151604039894537E-3</v>
      </c>
      <c r="R66" s="99">
        <f t="shared" si="16"/>
        <v>-5.7181508480784989E-3</v>
      </c>
      <c r="S66" s="98"/>
      <c r="T66" s="73">
        <f t="shared" si="17"/>
        <v>173.84583699667542</v>
      </c>
      <c r="U66" s="73">
        <f t="shared" si="18"/>
        <v>173.87441982113523</v>
      </c>
      <c r="V66" s="99">
        <f>(T66-U66)/U66</f>
        <v>-1.643877488662279E-4</v>
      </c>
      <c r="W66" s="99">
        <f>(T66-T65)/T65</f>
        <v>1.2402273039331925E-2</v>
      </c>
      <c r="X66" s="99">
        <f>(U66-U65)/U65</f>
        <v>8.5337795698717332E-3</v>
      </c>
      <c r="Y66" s="98"/>
    </row>
    <row r="67" spans="1:25" s="140" customFormat="1" ht="15" x14ac:dyDescent="0.25">
      <c r="A67" s="97">
        <v>2019</v>
      </c>
      <c r="B67" s="205">
        <f>C67</f>
        <v>173.02288332964872</v>
      </c>
      <c r="C67" s="125">
        <f>EXP(Kokonaistuottavuus!H68)*Pääoma!B67^0.35*Työvoimapanos!K67^0.65</f>
        <v>173.02288332964872</v>
      </c>
      <c r="D67" s="99">
        <f t="shared" ref="D67:D68" si="22">(B67-C67)/C67</f>
        <v>0</v>
      </c>
      <c r="E67" s="99">
        <f t="shared" ref="E67:E68" si="23">(B67-B66)/B66</f>
        <v>5.3093410557826428E-3</v>
      </c>
      <c r="F67" s="99">
        <f t="shared" ref="F67:F68" si="24">(C67-C66)/C66</f>
        <v>5.4141836671475129E-3</v>
      </c>
      <c r="G67" s="135"/>
      <c r="H67" s="205">
        <f>I67</f>
        <v>177.51110808157017</v>
      </c>
      <c r="I67" s="125">
        <f>EXP(Kokonaistuottavuus!P68)*Pääoma!F67^0.35*Työvoimapanos!V67^0.65</f>
        <v>177.51110808157017</v>
      </c>
      <c r="J67" s="99">
        <f t="shared" ref="J67:J68" si="25">(H67-I67)/I67</f>
        <v>0</v>
      </c>
      <c r="K67" s="99">
        <f t="shared" ref="K67:K68" si="26">(H67-H66)/H66</f>
        <v>1.0983615564657318E-2</v>
      </c>
      <c r="L67" s="99">
        <f t="shared" ref="L67:L68" si="27">(I67-I66)/I66</f>
        <v>1.0551309654239491E-2</v>
      </c>
      <c r="M67" s="98"/>
      <c r="N67" s="99">
        <f t="shared" si="12"/>
        <v>-2.5284190946850575E-2</v>
      </c>
      <c r="O67" s="99">
        <f t="shared" si="13"/>
        <v>-2.5284190946850575E-2</v>
      </c>
      <c r="P67" s="99">
        <f t="shared" si="14"/>
        <v>0</v>
      </c>
      <c r="Q67" s="99">
        <f t="shared" si="15"/>
        <v>-5.674274508874675E-3</v>
      </c>
      <c r="R67" s="99">
        <f t="shared" si="16"/>
        <v>-5.1371259870919778E-3</v>
      </c>
      <c r="S67" s="98"/>
      <c r="T67" s="73">
        <f t="shared" si="17"/>
        <v>175.26699570560945</v>
      </c>
      <c r="U67" s="73">
        <f t="shared" si="18"/>
        <v>175.26699570560945</v>
      </c>
      <c r="V67" s="99">
        <f t="shared" ref="V67:V68" si="28">(T67-U67)/U67</f>
        <v>0</v>
      </c>
      <c r="W67" s="99">
        <f t="shared" ref="W67:W68" si="29">(T67-T66)/T66</f>
        <v>8.1748216321177007E-3</v>
      </c>
      <c r="X67" s="99">
        <f t="shared" ref="X67:X68" si="30">(U67-U66)/U66</f>
        <v>8.0090900427259859E-3</v>
      </c>
      <c r="Y67" s="4"/>
    </row>
    <row r="68" spans="1:25" ht="15.75" thickBot="1" x14ac:dyDescent="0.3">
      <c r="A68" s="100">
        <v>2020</v>
      </c>
      <c r="B68" s="206">
        <f>C68</f>
        <v>173.8478622909912</v>
      </c>
      <c r="C68" s="126">
        <f>EXP(Kokonaistuottavuus!H69)*Pääoma!B68^0.35*Työvoimapanos!K68^0.65</f>
        <v>173.8478622909912</v>
      </c>
      <c r="D68" s="102">
        <f t="shared" si="22"/>
        <v>0</v>
      </c>
      <c r="E68" s="102">
        <f t="shared" si="23"/>
        <v>4.768033831517561E-3</v>
      </c>
      <c r="F68" s="102">
        <f t="shared" si="24"/>
        <v>4.768033831517561E-3</v>
      </c>
      <c r="G68" s="28"/>
      <c r="H68" s="206">
        <f>I68</f>
        <v>179.41313129784348</v>
      </c>
      <c r="I68" s="126">
        <f>EXP(Kokonaistuottavuus!P69)*Pääoma!F68^0.35*Työvoimapanos!V68^0.65</f>
        <v>179.41313129784348</v>
      </c>
      <c r="J68" s="102">
        <f t="shared" si="25"/>
        <v>0</v>
      </c>
      <c r="K68" s="102">
        <f t="shared" si="26"/>
        <v>1.0714953203938574E-2</v>
      </c>
      <c r="L68" s="102">
        <f t="shared" si="27"/>
        <v>1.0714953203938574E-2</v>
      </c>
      <c r="M68" s="28"/>
      <c r="N68" s="102">
        <f t="shared" si="12"/>
        <v>-3.1019295893194021E-2</v>
      </c>
      <c r="O68" s="102">
        <f t="shared" si="13"/>
        <v>-3.1019295893194021E-2</v>
      </c>
      <c r="P68" s="102">
        <f t="shared" si="14"/>
        <v>0</v>
      </c>
      <c r="Q68" s="102">
        <f t="shared" si="15"/>
        <v>-5.9469193724210126E-3</v>
      </c>
      <c r="R68" s="102">
        <f t="shared" si="16"/>
        <v>-5.9469193724210126E-3</v>
      </c>
      <c r="S68" s="28"/>
      <c r="T68" s="41">
        <f t="shared" si="17"/>
        <v>176.63049679441735</v>
      </c>
      <c r="U68" s="41">
        <f t="shared" si="18"/>
        <v>176.63049679441735</v>
      </c>
      <c r="V68" s="102">
        <f t="shared" si="28"/>
        <v>0</v>
      </c>
      <c r="W68" s="102">
        <f t="shared" si="29"/>
        <v>7.7795655897368067E-3</v>
      </c>
      <c r="X68" s="102">
        <f t="shared" si="30"/>
        <v>7.7795655897368067E-3</v>
      </c>
      <c r="Y68" s="28"/>
    </row>
    <row r="69" spans="1:25" s="140" customFormat="1" ht="15" thickTop="1" x14ac:dyDescent="0.2">
      <c r="A69" s="97"/>
    </row>
    <row r="70" spans="1:25" x14ac:dyDescent="0.2">
      <c r="B70" t="s">
        <v>304</v>
      </c>
      <c r="H70" s="140" t="s">
        <v>304</v>
      </c>
      <c r="M70" s="3"/>
    </row>
    <row r="71" spans="1:25" s="140" customFormat="1" x14ac:dyDescent="0.2">
      <c r="D71" s="148"/>
      <c r="E71" s="105"/>
      <c r="F71" s="148"/>
      <c r="J71" s="148"/>
      <c r="K71" s="105"/>
      <c r="L71" s="148"/>
      <c r="W71" s="105"/>
    </row>
    <row r="72" spans="1:25" x14ac:dyDescent="0.2">
      <c r="G72" s="3"/>
      <c r="P72" s="81"/>
      <c r="Q72" s="81"/>
      <c r="R72" s="81"/>
    </row>
    <row r="73" spans="1:25" x14ac:dyDescent="0.2">
      <c r="A73" s="91" t="s">
        <v>122</v>
      </c>
      <c r="G73" s="3"/>
    </row>
    <row r="74" spans="1:25" x14ac:dyDescent="0.2">
      <c r="C74" t="s">
        <v>139</v>
      </c>
      <c r="G74" s="3"/>
      <c r="H74" s="108"/>
    </row>
    <row r="75" spans="1:25" x14ac:dyDescent="0.2">
      <c r="B75" s="91"/>
      <c r="C75" t="s">
        <v>140</v>
      </c>
      <c r="F75" s="178"/>
      <c r="G75" s="123"/>
    </row>
    <row r="76" spans="1:25" x14ac:dyDescent="0.2">
      <c r="B76" s="91"/>
      <c r="C76" t="s">
        <v>150</v>
      </c>
      <c r="G76" s="123"/>
      <c r="I76" s="91"/>
      <c r="J76" s="2"/>
      <c r="K76" s="2"/>
      <c r="L76" s="2"/>
    </row>
    <row r="77" spans="1:25" s="140" customFormat="1" x14ac:dyDescent="0.2">
      <c r="C77" s="140" t="s">
        <v>293</v>
      </c>
      <c r="G77" s="178"/>
      <c r="J77" s="2"/>
      <c r="K77" s="2"/>
      <c r="L77" s="2"/>
    </row>
    <row r="78" spans="1:25" x14ac:dyDescent="0.2">
      <c r="B78" s="91"/>
      <c r="C78" s="79"/>
      <c r="D78" s="121"/>
      <c r="E78" s="121"/>
      <c r="F78" s="121"/>
      <c r="G78" s="178"/>
      <c r="H78" s="137"/>
      <c r="I78" s="91"/>
      <c r="J78" s="91"/>
      <c r="M78" s="72"/>
    </row>
    <row r="79" spans="1:25" x14ac:dyDescent="0.2">
      <c r="B79" s="91"/>
      <c r="C79" s="79" t="s">
        <v>141</v>
      </c>
      <c r="D79" s="121"/>
      <c r="E79" s="121"/>
      <c r="F79" s="121"/>
      <c r="G79" s="178"/>
      <c r="H79" s="137"/>
      <c r="I79" s="91"/>
      <c r="J79" s="91"/>
      <c r="M79" s="72"/>
    </row>
    <row r="80" spans="1:25" x14ac:dyDescent="0.2">
      <c r="B80" s="91"/>
      <c r="C80" s="91" t="s">
        <v>146</v>
      </c>
      <c r="D80" s="121"/>
      <c r="E80" s="121"/>
      <c r="F80" s="121"/>
      <c r="G80" s="178"/>
      <c r="H80" s="137"/>
      <c r="I80" s="91"/>
      <c r="J80" s="91"/>
      <c r="M80" s="72"/>
    </row>
    <row r="81" spans="1:13" x14ac:dyDescent="0.2">
      <c r="A81" s="3"/>
      <c r="B81" s="91"/>
      <c r="C81" s="91" t="s">
        <v>147</v>
      </c>
      <c r="D81" s="121"/>
      <c r="E81" s="121"/>
      <c r="F81" s="121"/>
      <c r="G81" s="178"/>
      <c r="H81" s="137"/>
      <c r="I81" s="91"/>
      <c r="J81" s="91"/>
      <c r="M81" s="72"/>
    </row>
    <row r="82" spans="1:13" x14ac:dyDescent="0.2">
      <c r="A82" s="3"/>
      <c r="B82" s="2"/>
      <c r="C82" s="79"/>
      <c r="D82" s="121"/>
      <c r="E82" s="121"/>
      <c r="F82" s="121"/>
      <c r="G82" s="178"/>
      <c r="H82" s="137"/>
      <c r="I82" s="91"/>
      <c r="J82" s="91"/>
      <c r="M82" s="72"/>
    </row>
    <row r="83" spans="1:13" x14ac:dyDescent="0.2">
      <c r="A83" s="91" t="s">
        <v>143</v>
      </c>
      <c r="B83" s="2"/>
      <c r="C83" s="79"/>
      <c r="D83" s="121"/>
      <c r="E83" s="121"/>
      <c r="F83" s="121"/>
      <c r="G83" s="178"/>
      <c r="H83" s="137"/>
      <c r="I83" s="91"/>
      <c r="J83" s="91"/>
      <c r="M83" s="72"/>
    </row>
    <row r="84" spans="1:13" x14ac:dyDescent="0.2">
      <c r="A84" s="3"/>
      <c r="B84" s="2"/>
      <c r="C84" s="91" t="s">
        <v>139</v>
      </c>
      <c r="D84" s="121"/>
      <c r="E84" s="121"/>
      <c r="F84" s="121"/>
      <c r="G84" s="178"/>
      <c r="H84" s="137"/>
      <c r="I84" s="91"/>
      <c r="J84" s="91"/>
      <c r="M84" s="72"/>
    </row>
    <row r="85" spans="1:13" x14ac:dyDescent="0.2">
      <c r="A85" s="3"/>
      <c r="B85" s="2"/>
      <c r="C85" s="91" t="s">
        <v>144</v>
      </c>
      <c r="D85" s="121"/>
      <c r="E85" s="121"/>
      <c r="F85" s="121"/>
      <c r="G85" s="178"/>
      <c r="H85" s="137"/>
      <c r="I85" s="91"/>
      <c r="J85" s="91"/>
      <c r="M85" s="72"/>
    </row>
    <row r="86" spans="1:13" x14ac:dyDescent="0.2">
      <c r="A86" s="3"/>
      <c r="B86" s="2"/>
      <c r="C86" s="91" t="s">
        <v>145</v>
      </c>
      <c r="D86" s="121"/>
      <c r="E86" s="121"/>
      <c r="F86" s="121"/>
      <c r="G86" s="178"/>
      <c r="H86" s="137"/>
      <c r="I86" s="91"/>
      <c r="J86" s="91"/>
      <c r="M86" s="72"/>
    </row>
    <row r="87" spans="1:13" x14ac:dyDescent="0.2">
      <c r="A87" s="3"/>
      <c r="B87" s="2"/>
      <c r="C87" s="79"/>
      <c r="D87" s="121"/>
      <c r="E87" s="121"/>
      <c r="F87" s="121"/>
      <c r="G87" s="178"/>
      <c r="H87" s="137"/>
      <c r="I87" s="91"/>
      <c r="J87" s="136"/>
      <c r="K87" s="136"/>
      <c r="L87" s="136"/>
      <c r="M87" s="72"/>
    </row>
    <row r="88" spans="1:13" x14ac:dyDescent="0.2">
      <c r="A88" s="3"/>
      <c r="B88" s="2"/>
      <c r="C88" s="79" t="s">
        <v>141</v>
      </c>
      <c r="D88" s="121"/>
      <c r="E88" s="121"/>
      <c r="F88" s="121"/>
      <c r="G88" s="178"/>
      <c r="H88" s="137"/>
      <c r="I88" s="91"/>
      <c r="J88" s="136"/>
      <c r="K88" s="136"/>
      <c r="L88" s="136"/>
      <c r="M88" s="72"/>
    </row>
    <row r="89" spans="1:13" x14ac:dyDescent="0.2">
      <c r="A89" s="3"/>
      <c r="B89" s="2"/>
      <c r="C89" s="91" t="s">
        <v>149</v>
      </c>
      <c r="D89" s="121"/>
      <c r="E89" s="121"/>
      <c r="F89" s="121"/>
      <c r="G89" s="178"/>
      <c r="H89" s="137"/>
      <c r="I89" s="91"/>
      <c r="J89" s="136"/>
      <c r="K89" s="136"/>
      <c r="L89" s="136"/>
      <c r="M89" s="72"/>
    </row>
    <row r="90" spans="1:13" x14ac:dyDescent="0.2">
      <c r="A90" s="3"/>
      <c r="B90" s="2"/>
      <c r="C90" s="91" t="s">
        <v>148</v>
      </c>
      <c r="D90" s="121"/>
      <c r="E90" s="121"/>
      <c r="F90" s="121"/>
      <c r="G90" s="178"/>
      <c r="H90" s="137"/>
      <c r="I90" s="91"/>
      <c r="J90" s="136"/>
      <c r="K90" s="136"/>
      <c r="L90" s="136"/>
      <c r="M90" s="72"/>
    </row>
    <row r="91" spans="1:13" x14ac:dyDescent="0.2">
      <c r="A91" s="3"/>
      <c r="B91" s="2"/>
      <c r="C91" s="79"/>
      <c r="D91" s="121"/>
      <c r="E91" s="121"/>
      <c r="F91" s="121"/>
      <c r="G91" s="178"/>
      <c r="H91" s="137"/>
      <c r="I91" s="91"/>
      <c r="J91" s="136"/>
      <c r="K91" s="136"/>
      <c r="L91" s="136"/>
      <c r="M91" s="72"/>
    </row>
    <row r="92" spans="1:13" x14ac:dyDescent="0.2">
      <c r="A92" s="3"/>
      <c r="B92" s="2"/>
      <c r="C92" s="79"/>
      <c r="D92" s="121"/>
      <c r="E92" s="121"/>
      <c r="F92" s="121"/>
      <c r="G92" s="178"/>
      <c r="H92" s="137"/>
      <c r="I92" s="91"/>
      <c r="J92" s="136"/>
      <c r="K92" s="136"/>
      <c r="L92" s="136"/>
      <c r="M92" s="72"/>
    </row>
    <row r="93" spans="1:13" x14ac:dyDescent="0.2">
      <c r="A93" s="3"/>
      <c r="B93" s="2"/>
      <c r="C93" s="79"/>
      <c r="D93" s="121"/>
      <c r="E93" s="121"/>
      <c r="F93" s="121"/>
      <c r="G93" s="178"/>
      <c r="H93" s="137"/>
      <c r="I93" s="91"/>
      <c r="J93" s="136"/>
      <c r="K93" s="136"/>
      <c r="L93" s="136"/>
      <c r="M93" s="72"/>
    </row>
    <row r="94" spans="1:13" ht="15" x14ac:dyDescent="0.25">
      <c r="A94" s="3"/>
      <c r="B94" s="2"/>
      <c r="C94" s="79"/>
      <c r="D94" s="121"/>
      <c r="E94" s="121"/>
      <c r="F94" s="121"/>
      <c r="G94" s="178"/>
      <c r="H94" s="138"/>
      <c r="I94" s="91"/>
      <c r="J94" s="136"/>
      <c r="K94" s="136"/>
      <c r="L94" s="136"/>
      <c r="M94" s="72"/>
    </row>
    <row r="95" spans="1:13" x14ac:dyDescent="0.2">
      <c r="A95" s="3"/>
      <c r="B95" s="2"/>
      <c r="C95" s="79"/>
      <c r="D95" s="121"/>
      <c r="E95" s="121"/>
      <c r="F95" s="121"/>
      <c r="G95" s="178"/>
      <c r="H95" s="137"/>
      <c r="I95" s="91"/>
      <c r="J95" s="136"/>
      <c r="K95" s="136"/>
      <c r="L95" s="136"/>
      <c r="M95" s="72"/>
    </row>
    <row r="96" spans="1:13" x14ac:dyDescent="0.2">
      <c r="A96" s="3"/>
      <c r="B96" s="2"/>
      <c r="C96" s="79"/>
      <c r="D96" s="121"/>
      <c r="E96" s="121"/>
      <c r="F96" s="121"/>
      <c r="G96" s="178"/>
      <c r="H96" s="137"/>
      <c r="I96" s="91"/>
      <c r="J96" s="136"/>
      <c r="K96" s="136"/>
      <c r="L96" s="136"/>
      <c r="M96" s="72"/>
    </row>
    <row r="97" spans="1:13" x14ac:dyDescent="0.2">
      <c r="A97" s="3"/>
      <c r="B97" s="2"/>
      <c r="C97" s="79"/>
      <c r="D97" s="121"/>
      <c r="E97" s="121"/>
      <c r="F97" s="121"/>
      <c r="G97" s="178"/>
      <c r="H97" s="137"/>
      <c r="I97" s="91"/>
      <c r="J97" s="136"/>
      <c r="K97" s="136"/>
      <c r="L97" s="136"/>
      <c r="M97" s="72"/>
    </row>
    <row r="98" spans="1:13" x14ac:dyDescent="0.2">
      <c r="A98" s="3"/>
      <c r="B98" s="2"/>
      <c r="C98" s="79"/>
      <c r="D98" s="121"/>
      <c r="E98" s="121"/>
      <c r="F98" s="121"/>
      <c r="G98" s="178"/>
      <c r="H98" s="137"/>
      <c r="I98" s="91"/>
      <c r="J98" s="136"/>
      <c r="K98" s="136"/>
      <c r="L98" s="136"/>
      <c r="M98" s="72"/>
    </row>
    <row r="99" spans="1:13" x14ac:dyDescent="0.2">
      <c r="A99" s="3"/>
      <c r="B99" s="2"/>
      <c r="C99" s="79"/>
      <c r="D99" s="121"/>
      <c r="E99" s="121"/>
      <c r="F99" s="121"/>
      <c r="G99" s="178"/>
      <c r="H99" s="137"/>
      <c r="I99" s="91"/>
      <c r="J99" s="136"/>
      <c r="K99" s="136"/>
      <c r="L99" s="136"/>
      <c r="M99" s="72"/>
    </row>
    <row r="100" spans="1:13" x14ac:dyDescent="0.2">
      <c r="A100" s="3"/>
      <c r="B100" s="2"/>
      <c r="C100" s="79"/>
      <c r="D100" s="121"/>
      <c r="E100" s="121"/>
      <c r="F100" s="121"/>
      <c r="G100" s="178"/>
      <c r="H100" s="137"/>
      <c r="I100" s="91"/>
      <c r="J100" s="136"/>
      <c r="K100" s="136"/>
      <c r="L100" s="136"/>
      <c r="M100" s="72"/>
    </row>
    <row r="101" spans="1:13" x14ac:dyDescent="0.2">
      <c r="A101" s="3"/>
      <c r="B101" s="2"/>
      <c r="C101" s="79"/>
      <c r="D101" s="121"/>
      <c r="E101" s="121"/>
      <c r="F101" s="121"/>
      <c r="G101" s="178"/>
      <c r="H101" s="137"/>
      <c r="I101" s="91"/>
      <c r="J101" s="136"/>
      <c r="K101" s="136"/>
      <c r="L101" s="136"/>
      <c r="M101" s="69"/>
    </row>
    <row r="102" spans="1:13" x14ac:dyDescent="0.2">
      <c r="A102" s="3"/>
      <c r="B102" s="2"/>
      <c r="C102" s="79"/>
      <c r="D102" s="121"/>
      <c r="E102" s="121"/>
      <c r="F102" s="121"/>
      <c r="G102" s="178"/>
      <c r="H102" s="137"/>
      <c r="I102" s="91"/>
      <c r="J102" s="136"/>
      <c r="K102" s="136"/>
      <c r="L102" s="136"/>
      <c r="M102" s="69"/>
    </row>
    <row r="103" spans="1:13" x14ac:dyDescent="0.2">
      <c r="A103" s="3"/>
      <c r="B103" s="2"/>
      <c r="C103" s="79"/>
      <c r="D103" s="121"/>
      <c r="E103" s="121"/>
      <c r="F103" s="121"/>
      <c r="G103" s="178"/>
      <c r="H103" s="137"/>
      <c r="I103" s="91"/>
      <c r="J103" s="136"/>
      <c r="K103" s="136"/>
      <c r="L103" s="136"/>
      <c r="M103" s="69"/>
    </row>
    <row r="104" spans="1:13" x14ac:dyDescent="0.2">
      <c r="A104" s="3"/>
      <c r="B104" s="2"/>
      <c r="C104" s="79"/>
      <c r="D104" s="121"/>
      <c r="E104" s="121"/>
      <c r="F104" s="121"/>
      <c r="G104" s="178"/>
      <c r="H104" s="137"/>
      <c r="I104" s="91"/>
      <c r="J104" s="136"/>
      <c r="K104" s="136"/>
      <c r="L104" s="136"/>
      <c r="M104" s="69"/>
    </row>
    <row r="105" spans="1:13" x14ac:dyDescent="0.2">
      <c r="A105" s="3"/>
      <c r="B105" s="2"/>
      <c r="C105" s="79"/>
      <c r="D105" s="121"/>
      <c r="E105" s="121"/>
      <c r="F105" s="121"/>
      <c r="G105" s="178"/>
      <c r="H105" s="137"/>
      <c r="I105" s="91"/>
      <c r="J105" s="136"/>
      <c r="K105" s="136"/>
      <c r="L105" s="136"/>
      <c r="M105" s="69"/>
    </row>
    <row r="106" spans="1:13" x14ac:dyDescent="0.2">
      <c r="A106" s="3"/>
      <c r="B106" s="2"/>
      <c r="C106" s="79"/>
      <c r="D106" s="121"/>
      <c r="E106" s="121"/>
      <c r="F106" s="121"/>
      <c r="G106" s="178"/>
      <c r="H106" s="137"/>
      <c r="I106" s="91"/>
      <c r="J106" s="136"/>
      <c r="K106" s="136"/>
      <c r="L106" s="136"/>
      <c r="M106" s="69"/>
    </row>
    <row r="107" spans="1:13" x14ac:dyDescent="0.2">
      <c r="A107" s="3"/>
      <c r="B107" s="2"/>
      <c r="C107" s="79"/>
      <c r="D107" s="121"/>
      <c r="E107" s="121"/>
      <c r="F107" s="121"/>
      <c r="G107" s="178"/>
      <c r="H107" s="137"/>
      <c r="I107" s="91"/>
      <c r="J107" s="136"/>
      <c r="K107" s="136"/>
      <c r="L107" s="136"/>
      <c r="M107" s="69"/>
    </row>
    <row r="108" spans="1:13" x14ac:dyDescent="0.2">
      <c r="A108" s="3"/>
      <c r="B108" s="2"/>
      <c r="C108" s="79"/>
      <c r="D108" s="121"/>
      <c r="E108" s="121"/>
      <c r="F108" s="121"/>
      <c r="G108" s="178"/>
      <c r="H108" s="137"/>
      <c r="I108" s="91"/>
      <c r="J108" s="136"/>
      <c r="K108" s="136"/>
      <c r="L108" s="136"/>
      <c r="M108" s="69"/>
    </row>
    <row r="109" spans="1:13" x14ac:dyDescent="0.2">
      <c r="A109" s="3"/>
      <c r="B109" s="2"/>
      <c r="C109" s="79"/>
      <c r="D109" s="121"/>
      <c r="E109" s="121"/>
      <c r="F109" s="121"/>
      <c r="G109" s="178"/>
      <c r="H109" s="137"/>
      <c r="I109" s="91"/>
      <c r="J109" s="136"/>
      <c r="K109" s="136"/>
      <c r="L109" s="136"/>
      <c r="M109" s="69"/>
    </row>
    <row r="110" spans="1:13" x14ac:dyDescent="0.2">
      <c r="A110" s="3"/>
      <c r="B110" s="2"/>
      <c r="C110" s="79"/>
      <c r="D110" s="121"/>
      <c r="E110" s="121"/>
      <c r="F110" s="121"/>
      <c r="G110" s="178"/>
      <c r="H110" s="137"/>
      <c r="I110" s="91"/>
      <c r="J110" s="136"/>
      <c r="K110" s="136"/>
      <c r="L110" s="136"/>
      <c r="M110" s="79"/>
    </row>
    <row r="111" spans="1:13" x14ac:dyDescent="0.2">
      <c r="A111" s="3"/>
      <c r="B111" s="2"/>
      <c r="C111" s="79"/>
      <c r="D111" s="121"/>
      <c r="E111" s="121"/>
      <c r="F111" s="121"/>
      <c r="G111" s="178"/>
      <c r="H111" s="137"/>
      <c r="I111" s="91"/>
      <c r="J111" s="136"/>
      <c r="K111" s="136"/>
      <c r="L111" s="136"/>
      <c r="M111" s="69"/>
    </row>
    <row r="112" spans="1:13" x14ac:dyDescent="0.2">
      <c r="A112" s="3"/>
      <c r="B112" s="2"/>
      <c r="C112" s="79"/>
      <c r="D112" s="121"/>
      <c r="E112" s="121"/>
      <c r="F112" s="121"/>
      <c r="G112" s="178"/>
      <c r="H112" s="137"/>
      <c r="I112" s="91"/>
      <c r="J112" s="136"/>
      <c r="K112" s="136"/>
      <c r="L112" s="136"/>
      <c r="M112" s="69"/>
    </row>
    <row r="113" spans="1:13" x14ac:dyDescent="0.2">
      <c r="A113" s="3"/>
      <c r="B113" s="2"/>
      <c r="C113" s="79"/>
      <c r="D113" s="121"/>
      <c r="E113" s="121"/>
      <c r="F113" s="121"/>
      <c r="G113" s="178"/>
      <c r="H113" s="137"/>
      <c r="I113" s="91"/>
      <c r="J113" s="136"/>
      <c r="K113" s="136"/>
      <c r="L113" s="136"/>
      <c r="M113" s="69"/>
    </row>
    <row r="114" spans="1:13" x14ac:dyDescent="0.2">
      <c r="A114" s="3"/>
      <c r="B114" s="2"/>
      <c r="C114" s="79"/>
      <c r="D114" s="121"/>
      <c r="E114" s="121"/>
      <c r="F114" s="121"/>
      <c r="G114" s="178"/>
      <c r="H114" s="137"/>
      <c r="I114" s="91"/>
      <c r="J114" s="136"/>
      <c r="K114" s="136"/>
      <c r="L114" s="136"/>
      <c r="M114" s="69"/>
    </row>
    <row r="115" spans="1:13" x14ac:dyDescent="0.2">
      <c r="A115" s="3"/>
      <c r="B115" s="2"/>
      <c r="C115" s="79"/>
      <c r="D115" s="121"/>
      <c r="E115" s="121"/>
      <c r="F115" s="121"/>
      <c r="G115" s="178"/>
      <c r="H115" s="137"/>
      <c r="I115" s="91"/>
      <c r="J115" s="136"/>
      <c r="K115" s="136"/>
      <c r="L115" s="136"/>
      <c r="M115" s="69"/>
    </row>
    <row r="116" spans="1:13" x14ac:dyDescent="0.2">
      <c r="A116" s="3"/>
      <c r="B116" s="2"/>
      <c r="C116" s="79"/>
      <c r="D116" s="121"/>
      <c r="E116" s="121"/>
      <c r="F116" s="121"/>
      <c r="G116" s="178"/>
      <c r="H116" s="137"/>
      <c r="I116" s="91"/>
      <c r="J116" s="136"/>
      <c r="K116" s="136"/>
      <c r="L116" s="136"/>
      <c r="M116" s="91"/>
    </row>
    <row r="117" spans="1:13" x14ac:dyDescent="0.2">
      <c r="A117" s="3"/>
      <c r="B117" s="2"/>
      <c r="C117" s="79"/>
      <c r="D117" s="121"/>
      <c r="E117" s="121"/>
      <c r="F117" s="121"/>
      <c r="G117" s="178"/>
      <c r="H117" s="137"/>
      <c r="I117" s="91"/>
      <c r="J117" s="136"/>
      <c r="K117" s="136"/>
      <c r="L117" s="136"/>
      <c r="M117" s="91"/>
    </row>
    <row r="118" spans="1:13" x14ac:dyDescent="0.2">
      <c r="A118" s="3"/>
      <c r="B118" s="2"/>
      <c r="C118" s="79"/>
      <c r="D118" s="121"/>
      <c r="E118" s="121"/>
      <c r="F118" s="121"/>
      <c r="G118" s="178"/>
      <c r="H118" s="137"/>
      <c r="I118" s="91"/>
      <c r="J118" s="136"/>
      <c r="K118" s="136"/>
      <c r="L118" s="136"/>
      <c r="M118" s="91"/>
    </row>
    <row r="119" spans="1:13" x14ac:dyDescent="0.2">
      <c r="A119" s="3"/>
      <c r="B119" s="2"/>
      <c r="C119" s="79"/>
      <c r="D119" s="121"/>
      <c r="E119" s="121"/>
      <c r="F119" s="121"/>
      <c r="G119" s="178"/>
      <c r="H119" s="137"/>
      <c r="I119" s="91"/>
      <c r="J119" s="136"/>
      <c r="K119" s="136"/>
      <c r="L119" s="136"/>
      <c r="M119" s="91"/>
    </row>
    <row r="120" spans="1:13" x14ac:dyDescent="0.2">
      <c r="A120" s="3"/>
      <c r="B120" s="2"/>
      <c r="C120" s="79"/>
      <c r="D120" s="121"/>
      <c r="E120" s="121"/>
      <c r="F120" s="121"/>
      <c r="G120" s="178"/>
      <c r="H120" s="137"/>
      <c r="I120" s="91"/>
      <c r="J120" s="136"/>
      <c r="K120" s="136"/>
      <c r="L120" s="136"/>
      <c r="M120" s="91"/>
    </row>
    <row r="121" spans="1:13" x14ac:dyDescent="0.2">
      <c r="A121" s="3"/>
      <c r="B121" s="2"/>
      <c r="C121" s="79"/>
      <c r="D121" s="121"/>
      <c r="E121" s="121"/>
      <c r="F121" s="121"/>
      <c r="G121" s="178"/>
      <c r="H121" s="137"/>
      <c r="I121" s="91"/>
      <c r="J121" s="136"/>
      <c r="K121" s="136"/>
      <c r="L121" s="136"/>
      <c r="M121" s="91"/>
    </row>
    <row r="122" spans="1:13" x14ac:dyDescent="0.2">
      <c r="A122" s="3"/>
      <c r="B122" s="2"/>
      <c r="C122" s="79"/>
      <c r="D122" s="121"/>
      <c r="E122" s="121"/>
      <c r="F122" s="121"/>
      <c r="G122" s="178"/>
      <c r="H122" s="137"/>
      <c r="I122" s="91"/>
      <c r="J122" s="136"/>
      <c r="K122" s="136"/>
      <c r="L122" s="136"/>
      <c r="M122" s="91"/>
    </row>
    <row r="123" spans="1:13" x14ac:dyDescent="0.2">
      <c r="A123" s="3"/>
      <c r="B123" s="2"/>
      <c r="C123" s="79"/>
      <c r="D123" s="121"/>
      <c r="E123" s="121"/>
      <c r="F123" s="121"/>
      <c r="G123" s="178"/>
      <c r="H123" s="137"/>
      <c r="I123" s="91"/>
      <c r="J123" s="136"/>
      <c r="K123" s="136"/>
      <c r="L123" s="136"/>
      <c r="M123" s="91"/>
    </row>
    <row r="124" spans="1:13" x14ac:dyDescent="0.2">
      <c r="A124" s="3"/>
      <c r="B124" s="2"/>
      <c r="C124" s="79"/>
      <c r="D124" s="121"/>
      <c r="E124" s="121"/>
      <c r="F124" s="121"/>
      <c r="G124" s="178"/>
      <c r="H124" s="137"/>
      <c r="I124" s="91"/>
      <c r="J124" s="136"/>
      <c r="K124" s="136"/>
      <c r="L124" s="136"/>
      <c r="M124" s="91"/>
    </row>
    <row r="125" spans="1:13" x14ac:dyDescent="0.2">
      <c r="A125" s="3"/>
      <c r="B125" s="2"/>
      <c r="C125" s="79"/>
      <c r="D125" s="121"/>
      <c r="E125" s="121"/>
      <c r="F125" s="121"/>
      <c r="G125" s="178"/>
      <c r="H125" s="137"/>
      <c r="I125" s="91"/>
      <c r="J125" s="136"/>
      <c r="K125" s="136"/>
      <c r="L125" s="136"/>
      <c r="M125" s="91"/>
    </row>
    <row r="126" spans="1:13" x14ac:dyDescent="0.2">
      <c r="A126" s="3"/>
      <c r="B126" s="2"/>
      <c r="C126" s="79"/>
      <c r="D126" s="121"/>
      <c r="E126" s="121"/>
      <c r="F126" s="121"/>
      <c r="G126" s="178"/>
      <c r="H126" s="137"/>
      <c r="I126" s="91"/>
      <c r="J126" s="136"/>
      <c r="K126" s="136"/>
      <c r="L126" s="136"/>
      <c r="M126" s="91"/>
    </row>
    <row r="127" spans="1:13" x14ac:dyDescent="0.2">
      <c r="A127" s="3"/>
      <c r="B127" s="2"/>
      <c r="C127" s="79"/>
      <c r="D127" s="121"/>
      <c r="E127" s="121"/>
      <c r="F127" s="121"/>
      <c r="G127" s="178"/>
      <c r="H127" s="137"/>
      <c r="I127" s="91"/>
      <c r="J127" s="136"/>
      <c r="K127" s="136"/>
      <c r="L127" s="136"/>
      <c r="M127" s="91"/>
    </row>
    <row r="128" spans="1:13" x14ac:dyDescent="0.2">
      <c r="A128" s="3"/>
      <c r="B128" s="2"/>
      <c r="C128" s="79"/>
      <c r="D128" s="121"/>
      <c r="E128" s="121"/>
      <c r="F128" s="121"/>
      <c r="G128" s="178"/>
      <c r="H128" s="137"/>
      <c r="I128" s="91"/>
      <c r="J128" s="136"/>
      <c r="K128" s="136"/>
      <c r="L128" s="136"/>
      <c r="M128" s="91"/>
    </row>
    <row r="129" spans="1:13" x14ac:dyDescent="0.2">
      <c r="A129" s="3"/>
      <c r="B129" s="2"/>
      <c r="C129" s="79"/>
      <c r="D129" s="121"/>
      <c r="E129" s="121"/>
      <c r="F129" s="121"/>
      <c r="G129" s="178"/>
      <c r="H129" s="137"/>
      <c r="I129" s="91"/>
      <c r="J129" s="136"/>
      <c r="K129" s="136"/>
      <c r="L129" s="136"/>
    </row>
    <row r="130" spans="1:13" x14ac:dyDescent="0.2">
      <c r="A130" s="3"/>
      <c r="B130" s="2"/>
      <c r="C130" s="79"/>
      <c r="D130" s="79"/>
      <c r="E130" s="79"/>
      <c r="F130" s="79"/>
      <c r="G130" s="178"/>
      <c r="H130" s="130"/>
      <c r="I130" s="91"/>
      <c r="J130" s="136"/>
      <c r="K130" s="136"/>
      <c r="L130" s="136"/>
    </row>
    <row r="131" spans="1:13" x14ac:dyDescent="0.2">
      <c r="A131" s="3"/>
      <c r="B131" s="2"/>
      <c r="C131" s="79"/>
      <c r="D131" s="79"/>
      <c r="E131" s="79"/>
      <c r="F131" s="79"/>
      <c r="G131" s="178"/>
      <c r="H131" s="91"/>
      <c r="I131" s="91"/>
      <c r="J131" s="136"/>
      <c r="K131" s="136"/>
      <c r="L131" s="136"/>
    </row>
    <row r="132" spans="1:13" x14ac:dyDescent="0.2">
      <c r="A132" s="3"/>
      <c r="B132" s="2"/>
      <c r="C132" s="79"/>
      <c r="D132" s="79"/>
      <c r="E132" s="79"/>
      <c r="F132" s="79"/>
      <c r="G132" s="178"/>
      <c r="H132" s="91"/>
      <c r="I132" s="91"/>
      <c r="J132" s="139"/>
      <c r="K132" s="139"/>
      <c r="L132" s="139"/>
      <c r="M132" s="122"/>
    </row>
    <row r="133" spans="1:13" x14ac:dyDescent="0.2">
      <c r="A133" s="3"/>
      <c r="B133" s="2"/>
      <c r="C133" s="79"/>
      <c r="D133" s="79"/>
      <c r="E133" s="79"/>
      <c r="F133" s="79"/>
      <c r="G133" s="178"/>
      <c r="H133" s="91"/>
      <c r="I133" s="91"/>
      <c r="J133" s="139"/>
      <c r="K133" s="139"/>
      <c r="L133" s="139"/>
      <c r="M133" s="122"/>
    </row>
    <row r="134" spans="1:13" x14ac:dyDescent="0.2">
      <c r="A134" s="3"/>
      <c r="B134" s="2"/>
      <c r="C134" s="79"/>
      <c r="D134" s="2"/>
      <c r="E134" s="2"/>
      <c r="F134" s="2"/>
      <c r="G134" s="3"/>
      <c r="H134" s="91"/>
      <c r="I134" s="91"/>
      <c r="J134" s="139"/>
      <c r="K134" s="139"/>
      <c r="L134" s="139"/>
      <c r="M134" s="122"/>
    </row>
    <row r="135" spans="1:13" x14ac:dyDescent="0.2">
      <c r="A135" s="3"/>
      <c r="B135" s="2"/>
      <c r="C135" s="79"/>
      <c r="D135" s="2"/>
      <c r="E135" s="2"/>
      <c r="F135" s="2"/>
      <c r="G135" s="3"/>
      <c r="H135" s="91"/>
      <c r="I135" s="91"/>
      <c r="J135" s="139"/>
      <c r="K135" s="139"/>
      <c r="L135" s="139"/>
      <c r="M135" s="122"/>
    </row>
    <row r="136" spans="1:13" x14ac:dyDescent="0.2">
      <c r="B136" s="91"/>
      <c r="C136" s="79"/>
      <c r="D136" s="2"/>
      <c r="E136" s="2"/>
      <c r="F136" s="2"/>
      <c r="G136" s="3"/>
      <c r="H136" s="91"/>
      <c r="I136" s="91"/>
      <c r="J136" s="139"/>
      <c r="K136" s="139"/>
      <c r="L136" s="139"/>
      <c r="M136" s="122"/>
    </row>
    <row r="137" spans="1:13" x14ac:dyDescent="0.2">
      <c r="B137" s="91"/>
      <c r="C137" s="79"/>
      <c r="D137" s="78"/>
      <c r="E137" s="78"/>
      <c r="F137" s="78"/>
      <c r="G137" s="3"/>
      <c r="H137" s="91"/>
      <c r="I137" s="91"/>
      <c r="J137" s="139"/>
      <c r="K137" s="139"/>
      <c r="L137" s="139"/>
      <c r="M137" s="122"/>
    </row>
    <row r="138" spans="1:13" x14ac:dyDescent="0.2">
      <c r="B138" s="91"/>
      <c r="C138" s="79"/>
      <c r="D138" s="2"/>
      <c r="E138" s="2"/>
      <c r="F138" s="2"/>
      <c r="H138" s="91"/>
      <c r="I138" s="91"/>
      <c r="J138" s="139"/>
      <c r="K138" s="139"/>
      <c r="L138" s="139"/>
      <c r="M138" s="122"/>
    </row>
    <row r="139" spans="1:13" x14ac:dyDescent="0.2">
      <c r="B139" s="91"/>
      <c r="C139" s="79"/>
      <c r="D139" s="2"/>
      <c r="E139" s="2"/>
      <c r="F139" s="2"/>
      <c r="H139" s="91"/>
      <c r="I139" s="91"/>
      <c r="J139" s="139"/>
      <c r="K139" s="139"/>
      <c r="L139" s="139"/>
      <c r="M139" s="122"/>
    </row>
    <row r="140" spans="1:13" x14ac:dyDescent="0.2">
      <c r="B140" s="91"/>
      <c r="C140" s="79"/>
      <c r="H140" s="91"/>
      <c r="I140" s="91"/>
      <c r="J140" s="139"/>
      <c r="K140" s="139"/>
      <c r="L140" s="139"/>
      <c r="M140" s="122"/>
    </row>
    <row r="141" spans="1:13" x14ac:dyDescent="0.2">
      <c r="B141" s="91"/>
      <c r="C141" s="79"/>
      <c r="H141" s="91"/>
      <c r="I141" s="91"/>
      <c r="J141" s="139"/>
      <c r="K141" s="139"/>
      <c r="L141" s="139"/>
      <c r="M141" s="122"/>
    </row>
    <row r="142" spans="1:13" x14ac:dyDescent="0.2">
      <c r="B142" s="91"/>
      <c r="C142" s="79"/>
      <c r="H142" s="91"/>
      <c r="I142" s="91"/>
      <c r="J142" s="139"/>
      <c r="K142" s="139"/>
      <c r="L142" s="139"/>
      <c r="M142" s="122"/>
    </row>
    <row r="143" spans="1:13" x14ac:dyDescent="0.2">
      <c r="B143" s="91"/>
      <c r="C143" s="79"/>
      <c r="H143" s="91"/>
      <c r="I143" s="91"/>
      <c r="J143" s="139"/>
      <c r="K143" s="139"/>
      <c r="L143" s="139"/>
      <c r="M143" s="122"/>
    </row>
    <row r="144" spans="1:13" x14ac:dyDescent="0.2">
      <c r="B144" s="91"/>
      <c r="C144" s="79"/>
      <c r="H144" s="91"/>
      <c r="I144" s="91"/>
      <c r="J144" s="139"/>
      <c r="K144" s="139"/>
      <c r="L144" s="139"/>
      <c r="M144" s="122"/>
    </row>
    <row r="145" spans="2:13" x14ac:dyDescent="0.2">
      <c r="B145" s="91"/>
      <c r="C145" s="79"/>
      <c r="H145" s="91"/>
      <c r="I145" s="91"/>
      <c r="J145" s="139"/>
      <c r="K145" s="139"/>
      <c r="L145" s="139"/>
      <c r="M145" s="122"/>
    </row>
    <row r="146" spans="2:13" x14ac:dyDescent="0.2">
      <c r="B146" s="91"/>
      <c r="C146" s="79"/>
      <c r="H146" s="91"/>
      <c r="I146" s="91"/>
      <c r="J146" s="139"/>
      <c r="K146" s="139"/>
      <c r="L146" s="139"/>
      <c r="M146" s="122"/>
    </row>
    <row r="147" spans="2:13" x14ac:dyDescent="0.2">
      <c r="B147" s="91"/>
      <c r="C147" s="79"/>
      <c r="H147" s="91"/>
      <c r="I147" s="91"/>
      <c r="J147" s="139"/>
      <c r="K147" s="139"/>
      <c r="L147" s="139"/>
      <c r="M147" s="122"/>
    </row>
    <row r="148" spans="2:13" x14ac:dyDescent="0.2">
      <c r="B148" s="91"/>
      <c r="C148" s="79"/>
      <c r="H148" s="91"/>
      <c r="I148" s="91"/>
      <c r="J148" s="136"/>
      <c r="K148" s="136"/>
      <c r="L148" s="136"/>
    </row>
    <row r="149" spans="2:13" x14ac:dyDescent="0.2">
      <c r="B149" s="91"/>
      <c r="C149" s="79"/>
      <c r="I149" s="91"/>
      <c r="J149" s="136"/>
      <c r="K149" s="136"/>
      <c r="L149" s="136"/>
    </row>
    <row r="150" spans="2:13" x14ac:dyDescent="0.2">
      <c r="B150" s="91"/>
      <c r="C150" s="79"/>
    </row>
    <row r="151" spans="2:13" x14ac:dyDescent="0.2">
      <c r="B151" s="91"/>
      <c r="C151" s="79"/>
    </row>
    <row r="152" spans="2:13" x14ac:dyDescent="0.2">
      <c r="B152" s="91"/>
      <c r="C152" s="79"/>
    </row>
    <row r="153" spans="2:13" x14ac:dyDescent="0.2">
      <c r="B153" s="91"/>
      <c r="C153" s="79"/>
    </row>
    <row r="154" spans="2:13" x14ac:dyDescent="0.2">
      <c r="B154" s="91"/>
      <c r="C154" s="79"/>
    </row>
  </sheetData>
  <mergeCells count="4">
    <mergeCell ref="A1:D1"/>
    <mergeCell ref="H1:J1"/>
    <mergeCell ref="N1:S1"/>
    <mergeCell ref="T1:X1"/>
  </mergeCells>
  <pageMargins left="0.7" right="0.7" top="0.75" bottom="0.75" header="0.3" footer="0.3"/>
  <pageSetup paperSize="9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Y145"/>
  <sheetViews>
    <sheetView workbookViewId="0">
      <pane xSplit="1" topLeftCell="B1" activePane="topRight" state="frozen"/>
      <selection pane="topRight" sqref="A1:H1"/>
    </sheetView>
  </sheetViews>
  <sheetFormatPr defaultRowHeight="14.25" x14ac:dyDescent="0.2"/>
  <cols>
    <col min="1" max="1" width="11.625" customWidth="1"/>
    <col min="2" max="2" width="12.75" style="50" customWidth="1"/>
    <col min="3" max="4" width="11.75" style="50" customWidth="1"/>
    <col min="5" max="5" width="14.25" style="50" customWidth="1"/>
    <col min="6" max="6" width="10.375" style="50" customWidth="1"/>
    <col min="7" max="7" width="11.75" style="50" customWidth="1"/>
    <col min="8" max="8" width="14.875" style="50" customWidth="1"/>
    <col min="10" max="10" width="11" style="50" customWidth="1"/>
    <col min="11" max="11" width="11.625" style="50" customWidth="1"/>
    <col min="12" max="12" width="12.375" style="50" customWidth="1"/>
    <col min="13" max="13" width="15.375" style="50" customWidth="1"/>
    <col min="14" max="14" width="11" style="50" customWidth="1"/>
    <col min="15" max="15" width="13.5" style="50" customWidth="1"/>
    <col min="16" max="16" width="14.625" style="50" customWidth="1"/>
    <col min="18" max="23" width="12.875" style="50" customWidth="1"/>
    <col min="24" max="24" width="17" style="50" customWidth="1"/>
  </cols>
  <sheetData>
    <row r="1" spans="1:25" s="3" customFormat="1" ht="22.5" x14ac:dyDescent="0.3">
      <c r="A1" s="308" t="s">
        <v>58</v>
      </c>
      <c r="B1" s="308"/>
      <c r="C1" s="308"/>
      <c r="D1" s="308"/>
      <c r="E1" s="308"/>
      <c r="F1" s="308"/>
      <c r="G1" s="308"/>
      <c r="H1" s="308"/>
      <c r="J1" s="308" t="s">
        <v>59</v>
      </c>
      <c r="K1" s="308"/>
      <c r="L1" s="308"/>
      <c r="M1" s="308"/>
      <c r="N1" s="308"/>
      <c r="O1" s="308"/>
      <c r="P1" s="308"/>
      <c r="R1" s="308" t="s">
        <v>447</v>
      </c>
      <c r="S1" s="308"/>
      <c r="T1" s="308"/>
      <c r="U1" s="308"/>
      <c r="V1" s="308"/>
      <c r="W1" s="308"/>
      <c r="X1" s="308"/>
      <c r="Y1" s="308"/>
    </row>
    <row r="2" spans="1:25" ht="28.5" x14ac:dyDescent="0.2">
      <c r="A2" t="s">
        <v>1</v>
      </c>
      <c r="B2" s="50" t="s">
        <v>4</v>
      </c>
      <c r="C2" s="50" t="s">
        <v>6</v>
      </c>
      <c r="D2" s="16" t="s">
        <v>85</v>
      </c>
      <c r="E2" s="16" t="s">
        <v>84</v>
      </c>
      <c r="F2" s="16" t="s">
        <v>84</v>
      </c>
      <c r="G2" s="16" t="s">
        <v>10</v>
      </c>
      <c r="H2" s="16" t="s">
        <v>83</v>
      </c>
      <c r="I2" s="4"/>
      <c r="J2" s="50" t="s">
        <v>4</v>
      </c>
      <c r="K2" s="50" t="s">
        <v>6</v>
      </c>
      <c r="L2" s="16" t="s">
        <v>85</v>
      </c>
      <c r="M2" s="16" t="s">
        <v>84</v>
      </c>
      <c r="N2" s="16" t="s">
        <v>84</v>
      </c>
      <c r="O2" s="16" t="s">
        <v>10</v>
      </c>
      <c r="P2" s="16" t="s">
        <v>83</v>
      </c>
      <c r="Q2" s="4"/>
      <c r="R2" s="50" t="s">
        <v>4</v>
      </c>
      <c r="S2" s="50" t="s">
        <v>6</v>
      </c>
      <c r="T2" s="16" t="s">
        <v>85</v>
      </c>
      <c r="U2" s="16" t="s">
        <v>84</v>
      </c>
      <c r="V2" s="16" t="s">
        <v>84</v>
      </c>
      <c r="W2" s="16" t="s">
        <v>10</v>
      </c>
      <c r="X2" s="16" t="s">
        <v>83</v>
      </c>
      <c r="Y2" s="4"/>
    </row>
    <row r="3" spans="1:25" x14ac:dyDescent="0.2">
      <c r="A3" t="s">
        <v>2</v>
      </c>
      <c r="B3" s="50" t="s">
        <v>5</v>
      </c>
      <c r="C3" s="50" t="s">
        <v>5</v>
      </c>
      <c r="I3" s="4"/>
      <c r="J3" s="50" t="s">
        <v>5</v>
      </c>
      <c r="K3" s="50" t="s">
        <v>5</v>
      </c>
      <c r="Q3" s="4"/>
      <c r="R3" s="50" t="s">
        <v>5</v>
      </c>
      <c r="S3" s="50" t="s">
        <v>5</v>
      </c>
      <c r="Y3" s="4"/>
    </row>
    <row r="4" spans="1:25" x14ac:dyDescent="0.2">
      <c r="A4" t="s">
        <v>3</v>
      </c>
      <c r="F4" s="50" t="s">
        <v>11</v>
      </c>
      <c r="H4" s="50" t="s">
        <v>11</v>
      </c>
      <c r="I4" s="4"/>
      <c r="N4" s="50" t="s">
        <v>11</v>
      </c>
      <c r="P4" s="50" t="s">
        <v>11</v>
      </c>
      <c r="Q4" s="4"/>
      <c r="V4" s="50" t="s">
        <v>11</v>
      </c>
      <c r="X4" s="50" t="s">
        <v>11</v>
      </c>
      <c r="Y4" s="4"/>
    </row>
    <row r="5" spans="1:25" x14ac:dyDescent="0.2">
      <c r="A5" t="s">
        <v>27</v>
      </c>
      <c r="B5" s="50" t="s">
        <v>135</v>
      </c>
      <c r="C5" s="50" t="s">
        <v>54</v>
      </c>
      <c r="D5" s="50" t="s">
        <v>60</v>
      </c>
      <c r="E5" s="50" t="s">
        <v>86</v>
      </c>
      <c r="F5" s="50" t="s">
        <v>86</v>
      </c>
      <c r="G5" s="50" t="s">
        <v>87</v>
      </c>
      <c r="H5" s="50" t="s">
        <v>88</v>
      </c>
      <c r="I5" s="4"/>
      <c r="J5" s="50" t="s">
        <v>135</v>
      </c>
      <c r="K5" s="50" t="s">
        <v>54</v>
      </c>
      <c r="L5" s="50" t="s">
        <v>60</v>
      </c>
      <c r="M5" s="50" t="s">
        <v>86</v>
      </c>
      <c r="N5" s="50" t="s">
        <v>86</v>
      </c>
      <c r="O5" s="50" t="s">
        <v>87</v>
      </c>
      <c r="P5" s="50" t="s">
        <v>88</v>
      </c>
      <c r="Q5" s="4"/>
      <c r="R5" s="50" t="s">
        <v>135</v>
      </c>
      <c r="S5" s="50" t="s">
        <v>54</v>
      </c>
      <c r="T5" s="50" t="s">
        <v>60</v>
      </c>
      <c r="U5" s="50" t="s">
        <v>86</v>
      </c>
      <c r="V5" s="50" t="s">
        <v>86</v>
      </c>
      <c r="W5" s="50" t="s">
        <v>87</v>
      </c>
      <c r="X5" s="50" t="s">
        <v>88</v>
      </c>
      <c r="Y5" s="4"/>
    </row>
    <row r="6" spans="1:25" x14ac:dyDescent="0.2">
      <c r="I6" s="4"/>
      <c r="Q6" s="4"/>
      <c r="Y6" s="4"/>
    </row>
    <row r="7" spans="1:25" x14ac:dyDescent="0.2">
      <c r="I7" s="4"/>
      <c r="Q7" s="4"/>
      <c r="Y7" s="4"/>
    </row>
    <row r="8" spans="1:25" ht="15" thickBot="1" x14ac:dyDescent="0.25">
      <c r="A8" s="32" t="s">
        <v>0</v>
      </c>
      <c r="B8" s="29"/>
      <c r="C8" s="29"/>
      <c r="D8" s="29"/>
      <c r="E8" s="29"/>
      <c r="F8" s="29"/>
      <c r="G8" s="29"/>
      <c r="H8" s="29"/>
      <c r="I8" s="28"/>
      <c r="J8" s="29"/>
      <c r="K8" s="29"/>
      <c r="L8" s="29"/>
      <c r="M8" s="29"/>
      <c r="N8" s="29"/>
      <c r="O8" s="29"/>
      <c r="P8" s="29"/>
      <c r="Q8" s="28"/>
      <c r="R8" s="29"/>
      <c r="S8" s="29"/>
      <c r="T8" s="29"/>
      <c r="U8" s="29"/>
      <c r="V8" s="29"/>
      <c r="W8" s="29"/>
      <c r="X8" s="29"/>
      <c r="Y8" s="4"/>
    </row>
    <row r="9" spans="1:25" ht="15" thickTop="1" x14ac:dyDescent="0.2">
      <c r="A9" s="1">
        <v>1960</v>
      </c>
      <c r="B9" s="15">
        <v>35.482613069999999</v>
      </c>
      <c r="C9" s="15">
        <f>Pääoma!B8</f>
        <v>106.4478392</v>
      </c>
      <c r="D9" s="18"/>
      <c r="E9" s="14"/>
      <c r="F9" s="8"/>
      <c r="G9" s="15"/>
      <c r="I9" s="4"/>
      <c r="J9" s="3">
        <v>35.482613069999999</v>
      </c>
      <c r="K9" s="15">
        <f>Pääoma!F8</f>
        <v>106.4478392</v>
      </c>
      <c r="L9" s="18"/>
      <c r="M9" s="14"/>
      <c r="N9" s="8"/>
      <c r="Q9" s="4"/>
      <c r="R9" s="12">
        <f t="shared" ref="R9:R40" si="0">(B9-J9)/B9</f>
        <v>0</v>
      </c>
      <c r="S9" s="12">
        <f t="shared" ref="S9:S40" si="1">(C9-K9)/C9</f>
        <v>0</v>
      </c>
      <c r="T9" s="12"/>
      <c r="U9" s="12"/>
      <c r="V9" s="12"/>
      <c r="W9" s="12"/>
      <c r="X9" s="12"/>
      <c r="Y9" s="4"/>
    </row>
    <row r="10" spans="1:25" x14ac:dyDescent="0.2">
      <c r="A10" s="1">
        <v>1961</v>
      </c>
      <c r="B10" s="15">
        <v>38.180947330000002</v>
      </c>
      <c r="C10" s="15">
        <f>Pääoma!B9</f>
        <v>112.55750372999999</v>
      </c>
      <c r="D10" s="18"/>
      <c r="E10" s="14"/>
      <c r="F10" s="8"/>
      <c r="G10" s="15"/>
      <c r="I10" s="4"/>
      <c r="J10" s="3">
        <v>38.180947330000002</v>
      </c>
      <c r="K10" s="15">
        <f>Pääoma!F9</f>
        <v>112.55750372999999</v>
      </c>
      <c r="L10" s="18"/>
      <c r="M10" s="14"/>
      <c r="N10" s="8"/>
      <c r="Q10" s="4"/>
      <c r="R10" s="12">
        <f t="shared" si="0"/>
        <v>0</v>
      </c>
      <c r="S10" s="12">
        <f t="shared" si="1"/>
        <v>0</v>
      </c>
      <c r="T10" s="12"/>
      <c r="U10" s="12"/>
      <c r="V10" s="12"/>
      <c r="W10" s="12"/>
      <c r="X10" s="12"/>
      <c r="Y10" s="4"/>
    </row>
    <row r="11" spans="1:25" x14ac:dyDescent="0.2">
      <c r="A11" s="1">
        <v>1962</v>
      </c>
      <c r="B11" s="15">
        <v>39.319484109999998</v>
      </c>
      <c r="C11" s="15">
        <f>Pääoma!B10</f>
        <v>118.50717883</v>
      </c>
      <c r="D11" s="18"/>
      <c r="E11" s="14"/>
      <c r="F11" s="8"/>
      <c r="G11" s="15"/>
      <c r="I11" s="4"/>
      <c r="J11" s="3">
        <v>39.319484109999998</v>
      </c>
      <c r="K11" s="15">
        <f>Pääoma!F10</f>
        <v>118.50717883</v>
      </c>
      <c r="L11" s="18"/>
      <c r="M11" s="14"/>
      <c r="N11" s="8"/>
      <c r="Q11" s="4"/>
      <c r="R11" s="12">
        <f t="shared" si="0"/>
        <v>0</v>
      </c>
      <c r="S11" s="12">
        <f t="shared" si="1"/>
        <v>0</v>
      </c>
      <c r="T11" s="12"/>
      <c r="U11" s="12"/>
      <c r="V11" s="12"/>
      <c r="W11" s="12"/>
      <c r="X11" s="12"/>
      <c r="Y11" s="4"/>
    </row>
    <row r="12" spans="1:25" x14ac:dyDescent="0.2">
      <c r="A12" s="1">
        <v>1963</v>
      </c>
      <c r="B12" s="15">
        <v>40.611168460000002</v>
      </c>
      <c r="C12" s="15">
        <f>Pääoma!B11</f>
        <v>123.87259650999999</v>
      </c>
      <c r="D12" s="18"/>
      <c r="E12" s="14"/>
      <c r="F12" s="8"/>
      <c r="G12" s="15"/>
      <c r="I12" s="4"/>
      <c r="J12" s="3">
        <v>40.611168460000002</v>
      </c>
      <c r="K12" s="15">
        <f>Pääoma!F11</f>
        <v>123.87259650999999</v>
      </c>
      <c r="L12" s="18"/>
      <c r="M12" s="14"/>
      <c r="N12" s="8"/>
      <c r="Q12" s="4"/>
      <c r="R12" s="12">
        <f t="shared" si="0"/>
        <v>0</v>
      </c>
      <c r="S12" s="12">
        <f t="shared" si="1"/>
        <v>0</v>
      </c>
      <c r="T12" s="12"/>
      <c r="U12" s="12"/>
      <c r="V12" s="12"/>
      <c r="W12" s="12"/>
      <c r="X12" s="12"/>
      <c r="Y12" s="4"/>
    </row>
    <row r="13" spans="1:25" x14ac:dyDescent="0.2">
      <c r="A13" s="1">
        <v>1964</v>
      </c>
      <c r="B13" s="15">
        <v>42.738660899999999</v>
      </c>
      <c r="C13" s="15">
        <f>Pääoma!B12</f>
        <v>129.62828719999999</v>
      </c>
      <c r="D13" s="18"/>
      <c r="E13" s="14"/>
      <c r="F13" s="8"/>
      <c r="G13" s="15"/>
      <c r="I13" s="4"/>
      <c r="J13" s="3">
        <v>42.738660899999999</v>
      </c>
      <c r="K13" s="15">
        <f>Pääoma!F12</f>
        <v>129.62828719999999</v>
      </c>
      <c r="L13" s="18"/>
      <c r="M13" s="14"/>
      <c r="N13" s="8"/>
      <c r="Q13" s="4"/>
      <c r="R13" s="12">
        <f t="shared" si="0"/>
        <v>0</v>
      </c>
      <c r="S13" s="12">
        <f t="shared" si="1"/>
        <v>0</v>
      </c>
      <c r="T13" s="12"/>
      <c r="U13" s="12"/>
      <c r="V13" s="12"/>
      <c r="W13" s="12"/>
      <c r="X13" s="12"/>
      <c r="Y13" s="4"/>
    </row>
    <row r="14" spans="1:25" ht="15" x14ac:dyDescent="0.25">
      <c r="A14" s="1">
        <v>1965</v>
      </c>
      <c r="B14" s="15">
        <v>45.005035110000001</v>
      </c>
      <c r="C14" s="15">
        <f>Pääoma!B13</f>
        <v>136.29422738</v>
      </c>
      <c r="D14" s="18"/>
      <c r="E14" s="14"/>
      <c r="F14" s="8"/>
      <c r="G14" s="15"/>
      <c r="H14" s="56">
        <v>-7.912173447964733</v>
      </c>
      <c r="I14" s="4"/>
      <c r="J14" s="3">
        <v>45.005035110000001</v>
      </c>
      <c r="K14" s="15">
        <f>Pääoma!F13</f>
        <v>136.29422738</v>
      </c>
      <c r="L14" s="18"/>
      <c r="M14" s="14"/>
      <c r="N14" s="8"/>
      <c r="P14" s="56">
        <v>-7.9121848994264647</v>
      </c>
      <c r="Q14" s="4"/>
      <c r="R14" s="12">
        <f t="shared" si="0"/>
        <v>0</v>
      </c>
      <c r="S14" s="12">
        <f t="shared" si="1"/>
        <v>0</v>
      </c>
      <c r="T14" s="12"/>
      <c r="U14" s="12"/>
      <c r="V14" s="12"/>
      <c r="W14" s="12"/>
      <c r="X14" s="12">
        <f t="shared" ref="X14:X45" si="2">H14-P14</f>
        <v>1.1451461731759593E-5</v>
      </c>
      <c r="Y14" s="4"/>
    </row>
    <row r="15" spans="1:25" ht="15" x14ac:dyDescent="0.25">
      <c r="A15" s="1">
        <v>1966</v>
      </c>
      <c r="B15" s="15">
        <v>46.072872259999997</v>
      </c>
      <c r="C15" s="15">
        <f>Pääoma!B14</f>
        <v>143.09110523000001</v>
      </c>
      <c r="D15" s="18"/>
      <c r="E15" s="14"/>
      <c r="F15" s="8"/>
      <c r="G15" s="15"/>
      <c r="H15" s="56">
        <v>-7.8741205081769667</v>
      </c>
      <c r="I15" s="4"/>
      <c r="J15" s="3">
        <v>46.072872259999997</v>
      </c>
      <c r="K15" s="15">
        <f>Pääoma!F14</f>
        <v>143.09110523000001</v>
      </c>
      <c r="L15" s="18"/>
      <c r="M15" s="14"/>
      <c r="N15" s="8"/>
      <c r="P15" s="56">
        <v>-7.874132340527539</v>
      </c>
      <c r="Q15" s="4"/>
      <c r="R15" s="12">
        <f t="shared" si="0"/>
        <v>0</v>
      </c>
      <c r="S15" s="12">
        <f t="shared" si="1"/>
        <v>0</v>
      </c>
      <c r="T15" s="12"/>
      <c r="U15" s="12"/>
      <c r="V15" s="12"/>
      <c r="W15" s="12"/>
      <c r="X15" s="95">
        <f t="shared" si="2"/>
        <v>1.1832350572227313E-5</v>
      </c>
      <c r="Y15" s="4"/>
    </row>
    <row r="16" spans="1:25" ht="15" x14ac:dyDescent="0.25">
      <c r="A16" s="1">
        <v>1967</v>
      </c>
      <c r="B16" s="15">
        <v>47.072107690000003</v>
      </c>
      <c r="C16" s="15">
        <f>Pääoma!B15</f>
        <v>149.42957109</v>
      </c>
      <c r="D16" s="18">
        <f>Työvoimapanos!D15</f>
        <v>4602501.8324616775</v>
      </c>
      <c r="E16" s="132">
        <f>B16/(C16^0.35*D16^0.65)</f>
        <v>3.8085948129380439E-4</v>
      </c>
      <c r="F16" s="8">
        <f t="shared" ref="F16:F63" si="3">LN(E16)</f>
        <v>-7.8730800663685638</v>
      </c>
      <c r="G16" s="15"/>
      <c r="H16" s="56">
        <v>-7.8359438619199917</v>
      </c>
      <c r="I16" s="4"/>
      <c r="J16" s="3">
        <v>47.072107690000003</v>
      </c>
      <c r="K16" s="15">
        <f>Pääoma!F15</f>
        <v>149.42957109</v>
      </c>
      <c r="L16" s="18">
        <f>Työvoimapanos!O15</f>
        <v>4602501.8324616775</v>
      </c>
      <c r="M16" s="132">
        <f>J16/(K16^0.35*L16^0.65)</f>
        <v>3.8085948129380439E-4</v>
      </c>
      <c r="N16" s="8">
        <f>LN(M16)</f>
        <v>-7.8730800663685638</v>
      </c>
      <c r="P16" s="56">
        <v>-7.8359558039674804</v>
      </c>
      <c r="Q16" s="4"/>
      <c r="R16" s="12">
        <f t="shared" si="0"/>
        <v>0</v>
      </c>
      <c r="S16" s="12">
        <f t="shared" si="1"/>
        <v>0</v>
      </c>
      <c r="T16" s="12">
        <f t="shared" ref="T16:T63" si="4">(D16-L16)/D16</f>
        <v>0</v>
      </c>
      <c r="U16" s="12">
        <f t="shared" ref="U16:U63" si="5">(E16-M16)/E16</f>
        <v>0</v>
      </c>
      <c r="V16" s="12">
        <f t="shared" ref="V16:V63" si="6">F16-N16</f>
        <v>0</v>
      </c>
      <c r="W16" s="12"/>
      <c r="X16" s="95">
        <f t="shared" si="2"/>
        <v>1.1942047488666674E-5</v>
      </c>
      <c r="Y16" s="4"/>
    </row>
    <row r="17" spans="1:25" ht="15" x14ac:dyDescent="0.25">
      <c r="A17" s="1">
        <v>1968</v>
      </c>
      <c r="B17" s="15">
        <v>48.156308549999999</v>
      </c>
      <c r="C17" s="15">
        <f>Pääoma!B16</f>
        <v>154.81295863</v>
      </c>
      <c r="D17" s="18">
        <f>Työvoimapanos!D16</f>
        <v>4484597.748161952</v>
      </c>
      <c r="E17" s="132">
        <f t="shared" ref="E17:E40" si="7">B17/(C17^0.35*D17^0.65)</f>
        <v>3.913815585170198E-4</v>
      </c>
      <c r="F17" s="8">
        <f t="shared" si="3"/>
        <v>-7.8458276208291888</v>
      </c>
      <c r="G17" s="15"/>
      <c r="H17" s="56">
        <v>-7.7976589218702195</v>
      </c>
      <c r="I17" s="4"/>
      <c r="J17" s="3">
        <v>48.156308549999999</v>
      </c>
      <c r="K17" s="15">
        <f>Pääoma!F16</f>
        <v>154.81295863</v>
      </c>
      <c r="L17" s="18">
        <f>Työvoimapanos!O16</f>
        <v>4484597.748161952</v>
      </c>
      <c r="M17" s="132">
        <f t="shared" ref="M17:M65" si="8">J17/(K17^0.35*L17^0.65)</f>
        <v>3.913815585170198E-4</v>
      </c>
      <c r="N17" s="8">
        <f t="shared" ref="N17:N64" si="9">LN(M17)</f>
        <v>-7.8458276208291888</v>
      </c>
      <c r="P17" s="56">
        <v>-7.7976710253725097</v>
      </c>
      <c r="Q17" s="4"/>
      <c r="R17" s="12">
        <f t="shared" si="0"/>
        <v>0</v>
      </c>
      <c r="S17" s="12">
        <f t="shared" si="1"/>
        <v>0</v>
      </c>
      <c r="T17" s="12">
        <f t="shared" si="4"/>
        <v>0</v>
      </c>
      <c r="U17" s="12">
        <f t="shared" si="5"/>
        <v>0</v>
      </c>
      <c r="V17" s="12">
        <f t="shared" si="6"/>
        <v>0</v>
      </c>
      <c r="W17" s="12"/>
      <c r="X17" s="95">
        <f t="shared" si="2"/>
        <v>1.2103502290194967E-5</v>
      </c>
      <c r="Y17" s="4"/>
    </row>
    <row r="18" spans="1:25" ht="15" x14ac:dyDescent="0.25">
      <c r="A18" s="1">
        <v>1969</v>
      </c>
      <c r="B18" s="15">
        <v>52.776120310000003</v>
      </c>
      <c r="C18" s="15">
        <f>Pääoma!B17</f>
        <v>161.40554090000001</v>
      </c>
      <c r="D18" s="18">
        <f>Työvoimapanos!D17</f>
        <v>4486888.7737847269</v>
      </c>
      <c r="E18" s="132">
        <f t="shared" si="7"/>
        <v>4.2257282006592789E-4</v>
      </c>
      <c r="F18" s="8">
        <f t="shared" si="3"/>
        <v>-7.7691487708328664</v>
      </c>
      <c r="G18" s="15"/>
      <c r="H18" s="56">
        <v>-7.7595456193387662</v>
      </c>
      <c r="I18" s="4"/>
      <c r="J18" s="3">
        <v>52.776120310000003</v>
      </c>
      <c r="K18" s="15">
        <f>Pääoma!F17</f>
        <v>161.40554090000001</v>
      </c>
      <c r="L18" s="18">
        <f>Työvoimapanos!O17</f>
        <v>4486888.7737847269</v>
      </c>
      <c r="M18" s="132">
        <f t="shared" si="8"/>
        <v>4.2257282006592789E-4</v>
      </c>
      <c r="N18" s="8">
        <f t="shared" si="9"/>
        <v>-7.7691487708328664</v>
      </c>
      <c r="P18" s="56">
        <v>-7.7595579081544921</v>
      </c>
      <c r="Q18" s="4"/>
      <c r="R18" s="12">
        <f t="shared" si="0"/>
        <v>0</v>
      </c>
      <c r="S18" s="12">
        <f t="shared" si="1"/>
        <v>0</v>
      </c>
      <c r="T18" s="12">
        <f t="shared" si="4"/>
        <v>0</v>
      </c>
      <c r="U18" s="12">
        <f t="shared" si="5"/>
        <v>0</v>
      </c>
      <c r="V18" s="12">
        <f t="shared" si="6"/>
        <v>0</v>
      </c>
      <c r="W18" s="12"/>
      <c r="X18" s="95">
        <f t="shared" si="2"/>
        <v>1.228881572590268E-5</v>
      </c>
      <c r="Y18" s="4"/>
    </row>
    <row r="19" spans="1:25" ht="15" x14ac:dyDescent="0.25">
      <c r="A19" s="1">
        <v>1970</v>
      </c>
      <c r="B19" s="15">
        <v>56.718726109999999</v>
      </c>
      <c r="C19" s="15">
        <f>Pääoma!B18</f>
        <v>169.26358887999999</v>
      </c>
      <c r="D19" s="18">
        <f>Työvoimapanos!D18</f>
        <v>4513897.6881156219</v>
      </c>
      <c r="E19" s="132">
        <f t="shared" si="7"/>
        <v>4.4490840995820312E-4</v>
      </c>
      <c r="F19" s="8">
        <f t="shared" si="3"/>
        <v>-7.7176421173005867</v>
      </c>
      <c r="G19" s="15"/>
      <c r="H19" s="56">
        <v>-7.7222587292165485</v>
      </c>
      <c r="I19" s="4"/>
      <c r="J19" s="3">
        <v>56.718726109999999</v>
      </c>
      <c r="K19" s="15">
        <f>Pääoma!F18</f>
        <v>169.26358887999999</v>
      </c>
      <c r="L19" s="18">
        <f>Työvoimapanos!O18</f>
        <v>4513897.6881156219</v>
      </c>
      <c r="M19" s="132">
        <f t="shared" si="8"/>
        <v>4.4490840995820312E-4</v>
      </c>
      <c r="N19" s="8">
        <f t="shared" si="9"/>
        <v>-7.7176421173005867</v>
      </c>
      <c r="P19" s="56">
        <v>-7.7222706728944823</v>
      </c>
      <c r="Q19" s="4"/>
      <c r="R19" s="12">
        <f t="shared" si="0"/>
        <v>0</v>
      </c>
      <c r="S19" s="12">
        <f t="shared" si="1"/>
        <v>0</v>
      </c>
      <c r="T19" s="12">
        <f t="shared" si="4"/>
        <v>0</v>
      </c>
      <c r="U19" s="12">
        <f t="shared" si="5"/>
        <v>0</v>
      </c>
      <c r="V19" s="12">
        <f t="shared" si="6"/>
        <v>0</v>
      </c>
      <c r="W19" s="12"/>
      <c r="X19" s="95">
        <f t="shared" si="2"/>
        <v>1.1943677933778929E-5</v>
      </c>
      <c r="Y19" s="4"/>
    </row>
    <row r="20" spans="1:25" ht="15" x14ac:dyDescent="0.25">
      <c r="A20" s="1">
        <v>1971</v>
      </c>
      <c r="B20" s="15">
        <v>58.055549759999998</v>
      </c>
      <c r="C20" s="15">
        <f>Pääoma!B19</f>
        <v>177.29163647999999</v>
      </c>
      <c r="D20" s="18">
        <f>Työvoimapanos!D19</f>
        <v>4404900.1586562349</v>
      </c>
      <c r="E20" s="132">
        <f t="shared" si="7"/>
        <v>4.5524418801033006E-4</v>
      </c>
      <c r="F20" s="8">
        <f t="shared" si="3"/>
        <v>-7.6946766060271115</v>
      </c>
      <c r="G20" s="15"/>
      <c r="H20" s="56">
        <v>-7.6864422144996363</v>
      </c>
      <c r="I20" s="4"/>
      <c r="J20" s="3">
        <v>58.055549759999998</v>
      </c>
      <c r="K20" s="15">
        <f>Pääoma!F19</f>
        <v>177.29163647999999</v>
      </c>
      <c r="L20" s="18">
        <f>Työvoimapanos!O19</f>
        <v>4404900.1586562349</v>
      </c>
      <c r="M20" s="132">
        <f t="shared" si="8"/>
        <v>4.5524418801033006E-4</v>
      </c>
      <c r="N20" s="8">
        <f t="shared" si="9"/>
        <v>-7.6946766060271115</v>
      </c>
      <c r="P20" s="56">
        <v>-7.6864544802675292</v>
      </c>
      <c r="Q20" s="4"/>
      <c r="R20" s="12">
        <f t="shared" si="0"/>
        <v>0</v>
      </c>
      <c r="S20" s="12">
        <f t="shared" si="1"/>
        <v>0</v>
      </c>
      <c r="T20" s="12">
        <f t="shared" si="4"/>
        <v>0</v>
      </c>
      <c r="U20" s="12">
        <f t="shared" si="5"/>
        <v>0</v>
      </c>
      <c r="V20" s="12">
        <f t="shared" si="6"/>
        <v>0</v>
      </c>
      <c r="W20" s="12"/>
      <c r="X20" s="95">
        <f t="shared" si="2"/>
        <v>1.2265767892927215E-5</v>
      </c>
      <c r="Y20" s="4"/>
    </row>
    <row r="21" spans="1:25" ht="15" x14ac:dyDescent="0.25">
      <c r="A21" s="1">
        <v>1972</v>
      </c>
      <c r="B21" s="15">
        <v>62.546424739999999</v>
      </c>
      <c r="C21" s="15">
        <f>Pääoma!B20</f>
        <v>185.93225684000001</v>
      </c>
      <c r="D21" s="18">
        <f>Työvoimapanos!D20</f>
        <v>4408900.0679857358</v>
      </c>
      <c r="E21" s="132">
        <f t="shared" si="7"/>
        <v>4.8207395062392915E-4</v>
      </c>
      <c r="F21" s="8">
        <f t="shared" si="3"/>
        <v>-7.6374130311510404</v>
      </c>
      <c r="G21" s="15"/>
      <c r="H21" s="56">
        <v>-7.6525870286551543</v>
      </c>
      <c r="I21" s="4"/>
      <c r="J21" s="3">
        <v>62.546424739999999</v>
      </c>
      <c r="K21" s="15">
        <f>Pääoma!F20</f>
        <v>185.93225684000001</v>
      </c>
      <c r="L21" s="18">
        <f>Työvoimapanos!O20</f>
        <v>4408900.0679857358</v>
      </c>
      <c r="M21" s="132">
        <f t="shared" si="8"/>
        <v>4.8207395062392915E-4</v>
      </c>
      <c r="N21" s="8">
        <f t="shared" si="9"/>
        <v>-7.6374130311510404</v>
      </c>
      <c r="P21" s="56">
        <v>-7.6525995188722655</v>
      </c>
      <c r="Q21" s="4"/>
      <c r="R21" s="12">
        <f t="shared" si="0"/>
        <v>0</v>
      </c>
      <c r="S21" s="12">
        <f t="shared" si="1"/>
        <v>0</v>
      </c>
      <c r="T21" s="12">
        <f t="shared" si="4"/>
        <v>0</v>
      </c>
      <c r="U21" s="12">
        <f t="shared" si="5"/>
        <v>0</v>
      </c>
      <c r="V21" s="12">
        <f t="shared" si="6"/>
        <v>0</v>
      </c>
      <c r="W21" s="12"/>
      <c r="X21" s="95">
        <f t="shared" si="2"/>
        <v>1.2490217111249535E-5</v>
      </c>
      <c r="Y21" s="4"/>
    </row>
    <row r="22" spans="1:25" ht="15" x14ac:dyDescent="0.25">
      <c r="A22" s="1">
        <v>1973</v>
      </c>
      <c r="B22" s="15">
        <v>66.914554300000006</v>
      </c>
      <c r="C22" s="15">
        <f>Pääoma!B21</f>
        <v>195.45880726999999</v>
      </c>
      <c r="D22" s="18">
        <f>Työvoimapanos!D21</f>
        <v>4453899.0480598602</v>
      </c>
      <c r="E22" s="132">
        <f t="shared" si="7"/>
        <v>5.0346584582483262E-4</v>
      </c>
      <c r="F22" s="8">
        <f t="shared" si="3"/>
        <v>-7.5939946816221786</v>
      </c>
      <c r="G22" s="15"/>
      <c r="H22" s="56">
        <v>-7.6211596256557081</v>
      </c>
      <c r="I22" s="4"/>
      <c r="J22" s="3">
        <v>66.914554300000006</v>
      </c>
      <c r="K22" s="15">
        <f>Pääoma!F21</f>
        <v>195.45880726999999</v>
      </c>
      <c r="L22" s="18">
        <f>Työvoimapanos!O21</f>
        <v>4453899.0480598602</v>
      </c>
      <c r="M22" s="132">
        <f t="shared" si="8"/>
        <v>5.0346584582483262E-4</v>
      </c>
      <c r="N22" s="8">
        <f t="shared" si="9"/>
        <v>-7.5939946816221786</v>
      </c>
      <c r="P22" s="56">
        <v>-7.6211716586122558</v>
      </c>
      <c r="Q22" s="4"/>
      <c r="R22" s="12">
        <f t="shared" si="0"/>
        <v>0</v>
      </c>
      <c r="S22" s="12">
        <f t="shared" si="1"/>
        <v>0</v>
      </c>
      <c r="T22" s="12">
        <f t="shared" si="4"/>
        <v>0</v>
      </c>
      <c r="U22" s="12">
        <f t="shared" si="5"/>
        <v>0</v>
      </c>
      <c r="V22" s="12">
        <f t="shared" si="6"/>
        <v>0</v>
      </c>
      <c r="W22" s="12"/>
      <c r="X22" s="95">
        <f t="shared" si="2"/>
        <v>1.2032956547614049E-5</v>
      </c>
      <c r="Y22" s="4"/>
    </row>
    <row r="23" spans="1:25" ht="15" x14ac:dyDescent="0.25">
      <c r="A23" s="1">
        <v>1974</v>
      </c>
      <c r="B23" s="15">
        <v>69.080273309999995</v>
      </c>
      <c r="C23" s="15">
        <f>Pääoma!B22</f>
        <v>205.21753602999999</v>
      </c>
      <c r="D23" s="18">
        <f>Työvoimapanos!D22</f>
        <v>4454899.0253871996</v>
      </c>
      <c r="E23" s="132">
        <f t="shared" si="7"/>
        <v>5.1089819806133553E-4</v>
      </c>
      <c r="F23" s="8">
        <f t="shared" si="3"/>
        <v>-7.5793402086227113</v>
      </c>
      <c r="G23" s="15"/>
      <c r="H23" s="56">
        <v>-7.5923678760890807</v>
      </c>
      <c r="I23" s="4"/>
      <c r="J23" s="3">
        <v>69.080273309999995</v>
      </c>
      <c r="K23" s="15">
        <f>Pääoma!F22</f>
        <v>205.21753602999999</v>
      </c>
      <c r="L23" s="18">
        <f>Työvoimapanos!O22</f>
        <v>4454899.0253871996</v>
      </c>
      <c r="M23" s="132">
        <f t="shared" si="8"/>
        <v>5.1089819806133553E-4</v>
      </c>
      <c r="N23" s="8">
        <f t="shared" si="9"/>
        <v>-7.5793402086227113</v>
      </c>
      <c r="P23" s="56">
        <v>-7.5923797541627929</v>
      </c>
      <c r="Q23" s="4"/>
      <c r="R23" s="12">
        <f t="shared" si="0"/>
        <v>0</v>
      </c>
      <c r="S23" s="12">
        <f t="shared" si="1"/>
        <v>0</v>
      </c>
      <c r="T23" s="12">
        <f t="shared" si="4"/>
        <v>0</v>
      </c>
      <c r="U23" s="12">
        <f t="shared" si="5"/>
        <v>0</v>
      </c>
      <c r="V23" s="12">
        <f t="shared" si="6"/>
        <v>0</v>
      </c>
      <c r="W23" s="12"/>
      <c r="X23" s="95">
        <f t="shared" si="2"/>
        <v>1.1878073712168202E-5</v>
      </c>
      <c r="Y23" s="4"/>
    </row>
    <row r="24" spans="1:25" ht="15" x14ac:dyDescent="0.25">
      <c r="A24" s="1">
        <v>1975</v>
      </c>
      <c r="B24" s="15">
        <v>71.368290000000002</v>
      </c>
      <c r="C24" s="15">
        <f>Pääoma!B23</f>
        <v>215.84246528</v>
      </c>
      <c r="D24" s="18">
        <f>Työvoimapanos!D23</f>
        <v>4411899.999993369</v>
      </c>
      <c r="E24" s="132">
        <f t="shared" si="7"/>
        <v>5.218560221398259E-4</v>
      </c>
      <c r="F24" s="8">
        <f t="shared" si="3"/>
        <v>-7.5581188277823781</v>
      </c>
      <c r="G24" s="15"/>
      <c r="H24" s="56">
        <v>-7.5660411576929247</v>
      </c>
      <c r="I24" s="4"/>
      <c r="J24" s="3">
        <v>71.368008423020356</v>
      </c>
      <c r="K24" s="15">
        <f>Pääoma!F23</f>
        <v>215.84246528</v>
      </c>
      <c r="L24" s="18">
        <f>Työvoimapanos!O23</f>
        <v>4411899.999993369</v>
      </c>
      <c r="M24" s="132">
        <f t="shared" si="8"/>
        <v>5.2185396320521325E-4</v>
      </c>
      <c r="N24" s="8">
        <f t="shared" si="9"/>
        <v>-7.5581227731975638</v>
      </c>
      <c r="P24" s="56">
        <v>-7.5660530978212401</v>
      </c>
      <c r="Q24" s="4"/>
      <c r="R24" s="12">
        <f t="shared" si="0"/>
        <v>3.9454074021612741E-6</v>
      </c>
      <c r="S24" s="12">
        <f t="shared" si="1"/>
        <v>0</v>
      </c>
      <c r="T24" s="12">
        <f t="shared" si="4"/>
        <v>0</v>
      </c>
      <c r="U24" s="12">
        <f t="shared" si="5"/>
        <v>3.9454074022264465E-6</v>
      </c>
      <c r="V24" s="12">
        <f t="shared" si="6"/>
        <v>3.9454151856688213E-6</v>
      </c>
      <c r="W24" s="12"/>
      <c r="X24" s="95">
        <f t="shared" si="2"/>
        <v>1.1940128315401921E-5</v>
      </c>
      <c r="Y24" s="4"/>
    </row>
    <row r="25" spans="1:25" ht="15" x14ac:dyDescent="0.25">
      <c r="A25" s="1">
        <v>1976</v>
      </c>
      <c r="B25" s="15">
        <v>71.614069999999998</v>
      </c>
      <c r="C25" s="15">
        <f>Pääoma!B24</f>
        <v>224.45356906000001</v>
      </c>
      <c r="D25" s="18">
        <f>Työvoimapanos!D24</f>
        <v>4364699.9999905499</v>
      </c>
      <c r="E25" s="132">
        <f t="shared" si="7"/>
        <v>5.2015612510782462E-4</v>
      </c>
      <c r="F25" s="8">
        <f t="shared" si="3"/>
        <v>-7.561381550860018</v>
      </c>
      <c r="G25" s="15"/>
      <c r="H25" s="56">
        <v>-7.5417717281204455</v>
      </c>
      <c r="I25" s="4"/>
      <c r="J25" s="3">
        <v>71.61358924543724</v>
      </c>
      <c r="K25" s="15">
        <f>Pääoma!F24</f>
        <v>224.45356906000001</v>
      </c>
      <c r="L25" s="18">
        <f>Työvoimapanos!O24</f>
        <v>4364699.9999905499</v>
      </c>
      <c r="M25" s="132">
        <f t="shared" si="8"/>
        <v>5.2015263323212902E-4</v>
      </c>
      <c r="N25" s="8">
        <f t="shared" si="9"/>
        <v>-7.5613882640125647</v>
      </c>
      <c r="P25" s="56">
        <v>-7.5417830401430175</v>
      </c>
      <c r="Q25" s="4"/>
      <c r="R25" s="12">
        <f t="shared" si="0"/>
        <v>6.7131300142351092E-6</v>
      </c>
      <c r="S25" s="12">
        <f t="shared" si="1"/>
        <v>0</v>
      </c>
      <c r="T25" s="12">
        <f t="shared" si="4"/>
        <v>0</v>
      </c>
      <c r="U25" s="12">
        <f t="shared" si="5"/>
        <v>6.713130014338343E-6</v>
      </c>
      <c r="V25" s="12">
        <f t="shared" si="6"/>
        <v>6.7131525467445385E-6</v>
      </c>
      <c r="W25" s="12"/>
      <c r="X25" s="95">
        <f t="shared" si="2"/>
        <v>1.1312022571985381E-5</v>
      </c>
      <c r="Y25" s="4"/>
    </row>
    <row r="26" spans="1:25" ht="15" x14ac:dyDescent="0.25">
      <c r="A26" s="1">
        <v>1977</v>
      </c>
      <c r="B26" s="15">
        <v>71.785589999999999</v>
      </c>
      <c r="C26" s="15">
        <f>Pääoma!B25</f>
        <v>232.02505733999999</v>
      </c>
      <c r="D26" s="18">
        <f>Työvoimapanos!D25</f>
        <v>4266700.0000009378</v>
      </c>
      <c r="E26" s="132">
        <f t="shared" si="7"/>
        <v>5.2304637077509671E-4</v>
      </c>
      <c r="F26" s="8">
        <f t="shared" si="3"/>
        <v>-7.5558404347797889</v>
      </c>
      <c r="G26" s="15"/>
      <c r="H26" s="56">
        <v>-7.5189657783159536</v>
      </c>
      <c r="I26" s="4"/>
      <c r="J26" s="3">
        <v>71.7851538215169</v>
      </c>
      <c r="K26" s="15">
        <f>Pääoma!F25</f>
        <v>232.02505733999999</v>
      </c>
      <c r="L26" s="18">
        <f>Työvoimapanos!O25</f>
        <v>4266700.0000009378</v>
      </c>
      <c r="M26" s="132">
        <f t="shared" si="8"/>
        <v>5.2304319267803569E-4</v>
      </c>
      <c r="N26" s="8">
        <f t="shared" si="9"/>
        <v>-7.5558465109269415</v>
      </c>
      <c r="P26" s="56">
        <v>-7.5189763957033202</v>
      </c>
      <c r="Q26" s="4"/>
      <c r="R26" s="12">
        <f t="shared" si="0"/>
        <v>6.0761286923889605E-6</v>
      </c>
      <c r="S26" s="12">
        <f t="shared" si="1"/>
        <v>0</v>
      </c>
      <c r="T26" s="12">
        <f t="shared" si="4"/>
        <v>0</v>
      </c>
      <c r="U26" s="12">
        <f t="shared" si="5"/>
        <v>6.0761286925822738E-6</v>
      </c>
      <c r="V26" s="12">
        <f t="shared" si="6"/>
        <v>6.0761471525339061E-6</v>
      </c>
      <c r="W26" s="12"/>
      <c r="X26" s="95">
        <f t="shared" si="2"/>
        <v>1.0617387366629316E-5</v>
      </c>
      <c r="Y26" s="4"/>
    </row>
    <row r="27" spans="1:25" ht="15" x14ac:dyDescent="0.25">
      <c r="A27" s="1">
        <v>1978</v>
      </c>
      <c r="B27" s="15">
        <v>73.881519999999995</v>
      </c>
      <c r="C27" s="15">
        <f>Pääoma!B26</f>
        <v>237.74252521</v>
      </c>
      <c r="D27" s="18">
        <f>Työvoimapanos!D26</f>
        <v>4238999.9999989802</v>
      </c>
      <c r="E27" s="132">
        <f t="shared" si="7"/>
        <v>5.3601531200745864E-4</v>
      </c>
      <c r="F27" s="8">
        <f t="shared" si="3"/>
        <v>-7.531347830123412</v>
      </c>
      <c r="G27" s="15"/>
      <c r="H27" s="56">
        <v>-7.497118754041364</v>
      </c>
      <c r="I27" s="4"/>
      <c r="J27" s="3">
        <v>73.881140802364328</v>
      </c>
      <c r="K27" s="15">
        <f>Pääoma!F26</f>
        <v>237.74252521</v>
      </c>
      <c r="L27" s="18">
        <f>Työvoimapanos!O26</f>
        <v>4238999.9999989802</v>
      </c>
      <c r="M27" s="132">
        <f t="shared" si="8"/>
        <v>5.3601256090354257E-4</v>
      </c>
      <c r="N27" s="8">
        <f t="shared" si="9"/>
        <v>-7.5313529626465217</v>
      </c>
      <c r="P27" s="56">
        <v>-7.4971281939516112</v>
      </c>
      <c r="Q27" s="4"/>
      <c r="R27" s="12">
        <f t="shared" si="0"/>
        <v>5.1325099384342423E-6</v>
      </c>
      <c r="S27" s="12">
        <f t="shared" si="1"/>
        <v>0</v>
      </c>
      <c r="T27" s="12">
        <f t="shared" si="4"/>
        <v>0</v>
      </c>
      <c r="U27" s="12">
        <f t="shared" si="5"/>
        <v>5.1325099385143504E-6</v>
      </c>
      <c r="V27" s="12">
        <f t="shared" si="6"/>
        <v>5.1325231096299717E-6</v>
      </c>
      <c r="W27" s="12"/>
      <c r="X27" s="95">
        <f t="shared" si="2"/>
        <v>9.4399102472664254E-6</v>
      </c>
      <c r="Y27" s="4"/>
    </row>
    <row r="28" spans="1:25" ht="15" x14ac:dyDescent="0.25">
      <c r="A28" s="1">
        <v>1979</v>
      </c>
      <c r="B28" s="15">
        <v>79.14331</v>
      </c>
      <c r="C28" s="15">
        <f>Pääoma!B27</f>
        <v>243.88689994999999</v>
      </c>
      <c r="D28" s="18">
        <f>Työvoimapanos!D27</f>
        <v>4276599.9999923203</v>
      </c>
      <c r="E28" s="132">
        <f t="shared" si="7"/>
        <v>5.6582760756207148E-4</v>
      </c>
      <c r="F28" s="8">
        <f t="shared" si="3"/>
        <v>-7.4772211064341105</v>
      </c>
      <c r="G28" s="15"/>
      <c r="H28" s="56">
        <v>-7.4759880042134466</v>
      </c>
      <c r="I28" s="4"/>
      <c r="J28" s="3">
        <v>79.143270247698737</v>
      </c>
      <c r="K28" s="15">
        <f>Pääoma!F27</f>
        <v>243.88689994999999</v>
      </c>
      <c r="L28" s="18">
        <f>Työvoimapanos!O27</f>
        <v>4276599.9999923203</v>
      </c>
      <c r="M28" s="132">
        <f t="shared" si="8"/>
        <v>5.6582732335675432E-4</v>
      </c>
      <c r="N28" s="8">
        <f t="shared" si="9"/>
        <v>-7.477221608716758</v>
      </c>
      <c r="P28" s="56">
        <v>-7.4759966784486815</v>
      </c>
      <c r="Q28" s="4"/>
      <c r="R28" s="12">
        <f t="shared" si="0"/>
        <v>5.0228252093950709E-7</v>
      </c>
      <c r="S28" s="12">
        <f t="shared" si="1"/>
        <v>0</v>
      </c>
      <c r="T28" s="12">
        <f t="shared" si="4"/>
        <v>0</v>
      </c>
      <c r="U28" s="12">
        <f t="shared" si="5"/>
        <v>5.0228252096512284E-7</v>
      </c>
      <c r="V28" s="12">
        <f t="shared" si="6"/>
        <v>5.0228264747431695E-7</v>
      </c>
      <c r="W28" s="12"/>
      <c r="X28" s="95">
        <f t="shared" si="2"/>
        <v>8.6742352349844509E-6</v>
      </c>
      <c r="Y28" s="4"/>
    </row>
    <row r="29" spans="1:25" ht="15" x14ac:dyDescent="0.25">
      <c r="A29" s="1">
        <v>1980</v>
      </c>
      <c r="B29" s="15">
        <v>83.408379999999994</v>
      </c>
      <c r="C29" s="15">
        <f>Pääoma!B28</f>
        <v>251.38130237999999</v>
      </c>
      <c r="D29" s="18">
        <f>Työvoimapanos!D28</f>
        <v>4354099.9999986477</v>
      </c>
      <c r="E29" s="132">
        <f t="shared" si="7"/>
        <v>5.8318881565931743E-4</v>
      </c>
      <c r="F29" s="8">
        <f t="shared" si="3"/>
        <v>-7.44699955499261</v>
      </c>
      <c r="G29" s="15"/>
      <c r="H29" s="56">
        <v>-7.4555663251000004</v>
      </c>
      <c r="I29" s="4"/>
      <c r="J29" s="3">
        <v>83.407974035171321</v>
      </c>
      <c r="K29" s="15">
        <f>Pääoma!F28</f>
        <v>251.38130237999999</v>
      </c>
      <c r="L29" s="18">
        <f>Työvoimapanos!O28</f>
        <v>4354099.9999986477</v>
      </c>
      <c r="M29" s="132">
        <f t="shared" si="8"/>
        <v>5.8318597716577956E-4</v>
      </c>
      <c r="N29" s="8">
        <f t="shared" si="9"/>
        <v>-7.447004422199198</v>
      </c>
      <c r="P29" s="56">
        <v>-7.4555742197999999</v>
      </c>
      <c r="Q29" s="4"/>
      <c r="R29" s="12">
        <f t="shared" si="0"/>
        <v>4.8671947431747563E-6</v>
      </c>
      <c r="S29" s="12">
        <f t="shared" si="1"/>
        <v>0</v>
      </c>
      <c r="T29" s="12">
        <f t="shared" si="4"/>
        <v>0</v>
      </c>
      <c r="U29" s="12">
        <f t="shared" si="5"/>
        <v>4.8671947432030252E-6</v>
      </c>
      <c r="V29" s="12">
        <f t="shared" si="6"/>
        <v>4.8672065879884485E-6</v>
      </c>
      <c r="W29" s="12"/>
      <c r="X29" s="95">
        <f t="shared" si="2"/>
        <v>7.89469999951109E-6</v>
      </c>
      <c r="Y29" s="4"/>
    </row>
    <row r="30" spans="1:25" ht="15" x14ac:dyDescent="0.25">
      <c r="A30" s="1">
        <v>1981</v>
      </c>
      <c r="B30" s="15">
        <v>84.481440000000006</v>
      </c>
      <c r="C30" s="15">
        <f>Pääoma!B29</f>
        <v>258.88915336999997</v>
      </c>
      <c r="D30" s="18">
        <f>Työvoimapanos!D29</f>
        <v>4422199.9999977797</v>
      </c>
      <c r="E30" s="132">
        <f t="shared" si="7"/>
        <v>5.7877066578704587E-4</v>
      </c>
      <c r="F30" s="8">
        <f t="shared" si="3"/>
        <v>-7.4546042455779267</v>
      </c>
      <c r="G30" s="15"/>
      <c r="H30" s="56">
        <v>-7.4423493477999996</v>
      </c>
      <c r="I30" s="4"/>
      <c r="J30" s="3">
        <v>84.481392634376405</v>
      </c>
      <c r="K30" s="15">
        <f>Pääoma!F29</f>
        <v>258.88915336999997</v>
      </c>
      <c r="L30" s="18">
        <f>Työvoimapanos!O29</f>
        <v>4422199.9999977797</v>
      </c>
      <c r="M30" s="132">
        <f t="shared" si="8"/>
        <v>5.7877034129170685E-4</v>
      </c>
      <c r="N30" s="8">
        <f t="shared" si="9"/>
        <v>-7.4546048062411554</v>
      </c>
      <c r="P30" s="56">
        <v>-7.4421528645999997</v>
      </c>
      <c r="Q30" s="4"/>
      <c r="R30" s="12">
        <f t="shared" si="0"/>
        <v>5.6066307109681244E-7</v>
      </c>
      <c r="S30" s="12">
        <f t="shared" si="1"/>
        <v>0</v>
      </c>
      <c r="T30" s="12">
        <f t="shared" si="4"/>
        <v>0</v>
      </c>
      <c r="U30" s="12">
        <f t="shared" si="5"/>
        <v>5.6066307123219096E-7</v>
      </c>
      <c r="V30" s="12">
        <f t="shared" si="6"/>
        <v>5.6066322873249419E-7</v>
      </c>
      <c r="W30" s="12"/>
      <c r="X30" s="95">
        <f t="shared" si="2"/>
        <v>-1.9648319999987507E-4</v>
      </c>
      <c r="Y30" s="4"/>
    </row>
    <row r="31" spans="1:25" ht="15" x14ac:dyDescent="0.25">
      <c r="A31" s="1">
        <v>1982</v>
      </c>
      <c r="B31" s="15">
        <v>87.057429999999997</v>
      </c>
      <c r="C31" s="15">
        <f>Pääoma!B30</f>
        <v>266.97786633999999</v>
      </c>
      <c r="D31" s="18">
        <f>Työvoimapanos!D30</f>
        <v>4436899.99999063</v>
      </c>
      <c r="E31" s="132">
        <f t="shared" si="7"/>
        <v>5.8875923952884403E-4</v>
      </c>
      <c r="F31" s="8">
        <f t="shared" si="3"/>
        <v>-7.4374932192895367</v>
      </c>
      <c r="G31" s="15"/>
      <c r="H31" s="56">
        <v>-7.4268787316999996</v>
      </c>
      <c r="I31" s="4"/>
      <c r="J31" s="3">
        <v>87.056963475022229</v>
      </c>
      <c r="K31" s="15">
        <f>Pääoma!F30</f>
        <v>266.97786633999999</v>
      </c>
      <c r="L31" s="18">
        <f>Työvoimapanos!O30</f>
        <v>4436899.99999063</v>
      </c>
      <c r="M31" s="132">
        <f t="shared" si="8"/>
        <v>5.8875608447486261E-4</v>
      </c>
      <c r="N31" s="8">
        <f t="shared" si="9"/>
        <v>-7.4374985781225256</v>
      </c>
      <c r="P31" s="56">
        <v>-7.4265663993000004</v>
      </c>
      <c r="Q31" s="4"/>
      <c r="R31" s="12">
        <f t="shared" si="0"/>
        <v>5.3588186300392196E-6</v>
      </c>
      <c r="S31" s="12">
        <f t="shared" si="1"/>
        <v>0</v>
      </c>
      <c r="T31" s="12">
        <f t="shared" si="4"/>
        <v>0</v>
      </c>
      <c r="U31" s="12">
        <f t="shared" si="5"/>
        <v>5.3588186300824979E-6</v>
      </c>
      <c r="V31" s="12">
        <f t="shared" si="6"/>
        <v>5.3588329889109332E-6</v>
      </c>
      <c r="W31" s="12"/>
      <c r="X31" s="95">
        <f t="shared" si="2"/>
        <v>-3.1233239999917117E-4</v>
      </c>
      <c r="Y31" s="4"/>
    </row>
    <row r="32" spans="1:25" ht="15" x14ac:dyDescent="0.25">
      <c r="A32" s="1">
        <v>1983</v>
      </c>
      <c r="B32" s="15">
        <v>89.689890000000005</v>
      </c>
      <c r="C32" s="15">
        <f>Pääoma!B31</f>
        <v>275.29407573999998</v>
      </c>
      <c r="D32" s="18">
        <f>Työvoimapanos!D31</f>
        <v>4410800.0000020005</v>
      </c>
      <c r="E32" s="132">
        <f t="shared" si="7"/>
        <v>6.0239075851835561E-4</v>
      </c>
      <c r="F32" s="8">
        <f t="shared" si="3"/>
        <v>-7.4146042227012536</v>
      </c>
      <c r="G32" s="15"/>
      <c r="H32" s="56">
        <v>-7.4093264326000003</v>
      </c>
      <c r="I32" s="4"/>
      <c r="J32" s="3">
        <v>89.689251866026495</v>
      </c>
      <c r="K32" s="15">
        <f>Pääoma!F31</f>
        <v>275.29407573999998</v>
      </c>
      <c r="L32" s="18">
        <f>Työvoimapanos!O31</f>
        <v>4410800.0000020005</v>
      </c>
      <c r="M32" s="132">
        <f t="shared" si="8"/>
        <v>6.0238647257254458E-4</v>
      </c>
      <c r="N32" s="8">
        <f t="shared" si="9"/>
        <v>-7.4146113376195979</v>
      </c>
      <c r="P32" s="56">
        <v>-7.4090704783000003</v>
      </c>
      <c r="Q32" s="4"/>
      <c r="R32" s="12">
        <f t="shared" si="0"/>
        <v>7.1148930332056375E-6</v>
      </c>
      <c r="S32" s="12">
        <f t="shared" si="1"/>
        <v>0</v>
      </c>
      <c r="T32" s="12">
        <f t="shared" si="4"/>
        <v>0</v>
      </c>
      <c r="U32" s="12">
        <f t="shared" si="5"/>
        <v>7.1148930331857068E-6</v>
      </c>
      <c r="V32" s="12">
        <f t="shared" si="6"/>
        <v>7.1149183442642538E-6</v>
      </c>
      <c r="W32" s="12"/>
      <c r="X32" s="95">
        <f t="shared" si="2"/>
        <v>-2.559543000000275E-4</v>
      </c>
      <c r="Y32" s="4"/>
    </row>
    <row r="33" spans="1:25" ht="15" x14ac:dyDescent="0.25">
      <c r="A33" s="1">
        <v>1984</v>
      </c>
      <c r="B33" s="15">
        <v>92.477140000000006</v>
      </c>
      <c r="C33" s="15">
        <f>Pääoma!B32</f>
        <v>282.86048455000002</v>
      </c>
      <c r="D33" s="18">
        <f>Työvoimapanos!D32</f>
        <v>4415999.9999883603</v>
      </c>
      <c r="E33" s="132">
        <f t="shared" si="7"/>
        <v>6.1477358606124759E-4</v>
      </c>
      <c r="F33" s="8">
        <f t="shared" si="3"/>
        <v>-7.3942565106885549</v>
      </c>
      <c r="G33" s="15"/>
      <c r="H33" s="56">
        <v>-7.3902382763999999</v>
      </c>
      <c r="I33" s="4"/>
      <c r="J33" s="3">
        <v>92.476632374726776</v>
      </c>
      <c r="K33" s="15">
        <f>Pääoma!F32</f>
        <v>282.86048455000002</v>
      </c>
      <c r="L33" s="18">
        <f>Työvoimapanos!O32</f>
        <v>4415999.9999883603</v>
      </c>
      <c r="M33" s="132">
        <f t="shared" si="8"/>
        <v>6.1477021144769881E-4</v>
      </c>
      <c r="N33" s="8">
        <f t="shared" si="9"/>
        <v>-7.3942619999009853</v>
      </c>
      <c r="P33" s="56">
        <v>-7.3901076693999999</v>
      </c>
      <c r="Q33" s="4"/>
      <c r="R33" s="12">
        <f t="shared" si="0"/>
        <v>5.4891973652023684E-6</v>
      </c>
      <c r="S33" s="12">
        <f t="shared" si="1"/>
        <v>0</v>
      </c>
      <c r="T33" s="12">
        <f t="shared" si="4"/>
        <v>0</v>
      </c>
      <c r="U33" s="12">
        <f t="shared" si="5"/>
        <v>5.4891973651627502E-6</v>
      </c>
      <c r="V33" s="12">
        <f t="shared" si="6"/>
        <v>5.4892124303762557E-6</v>
      </c>
      <c r="W33" s="12"/>
      <c r="X33" s="95">
        <f t="shared" si="2"/>
        <v>-1.306070000000048E-4</v>
      </c>
      <c r="Y33" s="4"/>
    </row>
    <row r="34" spans="1:25" ht="15" x14ac:dyDescent="0.25">
      <c r="A34" s="1">
        <v>1985</v>
      </c>
      <c r="B34" s="15">
        <v>95.531090000000006</v>
      </c>
      <c r="C34" s="15">
        <f>Pääoma!B33</f>
        <v>290.73084911000001</v>
      </c>
      <c r="D34" s="18">
        <f>Työvoimapanos!D33</f>
        <v>4422100.0000036526</v>
      </c>
      <c r="E34" s="132">
        <f t="shared" si="7"/>
        <v>6.2844066369360004E-4</v>
      </c>
      <c r="F34" s="8">
        <f t="shared" si="3"/>
        <v>-7.3722689437884332</v>
      </c>
      <c r="G34" s="15"/>
      <c r="H34" s="56">
        <v>-7.3699642399999998</v>
      </c>
      <c r="I34" s="4"/>
      <c r="J34" s="3">
        <v>95.531044507205777</v>
      </c>
      <c r="K34" s="15">
        <f>Pääoma!F33</f>
        <v>290.73084911000001</v>
      </c>
      <c r="L34" s="18">
        <f>Työvoimapanos!O33</f>
        <v>4422100.0000036526</v>
      </c>
      <c r="M34" s="132">
        <f t="shared" si="8"/>
        <v>6.2844036442430667E-4</v>
      </c>
      <c r="N34" s="8">
        <f t="shared" si="9"/>
        <v>-7.3722694199978545</v>
      </c>
      <c r="P34" s="56">
        <v>-7.3699384952999996</v>
      </c>
      <c r="Q34" s="4"/>
      <c r="R34" s="12">
        <f t="shared" si="0"/>
        <v>4.7620930765688567E-7</v>
      </c>
      <c r="S34" s="12">
        <f t="shared" si="1"/>
        <v>0</v>
      </c>
      <c r="T34" s="12">
        <f t="shared" si="4"/>
        <v>0</v>
      </c>
      <c r="U34" s="12">
        <f t="shared" si="5"/>
        <v>4.7620930767848639E-7</v>
      </c>
      <c r="V34" s="12">
        <f t="shared" si="6"/>
        <v>4.7620942122961196E-7</v>
      </c>
      <c r="W34" s="12"/>
      <c r="X34" s="95">
        <f t="shared" si="2"/>
        <v>-2.5744700000274179E-5</v>
      </c>
      <c r="Y34" s="4"/>
    </row>
    <row r="35" spans="1:25" ht="15" x14ac:dyDescent="0.25">
      <c r="A35" s="1">
        <v>1986</v>
      </c>
      <c r="B35" s="15">
        <v>98.054789999999997</v>
      </c>
      <c r="C35" s="15">
        <f>Pääoma!B34</f>
        <v>298.27373904000001</v>
      </c>
      <c r="D35" s="18">
        <f>Työvoimapanos!D34</f>
        <v>4357600.0000106944</v>
      </c>
      <c r="E35" s="132">
        <f t="shared" si="7"/>
        <v>6.4542052459553646E-4</v>
      </c>
      <c r="F35" s="8">
        <f t="shared" si="3"/>
        <v>-7.3456084774954853</v>
      </c>
      <c r="G35" s="15"/>
      <c r="H35" s="56">
        <v>-7.3489539303000004</v>
      </c>
      <c r="I35" s="4"/>
      <c r="J35" s="3">
        <v>98.054708801211547</v>
      </c>
      <c r="K35" s="15">
        <f>Pääoma!F34</f>
        <v>298.27373904000001</v>
      </c>
      <c r="L35" s="18">
        <f>Työvoimapanos!O34</f>
        <v>4357600.0000106944</v>
      </c>
      <c r="M35" s="132">
        <f t="shared" si="8"/>
        <v>6.4541999012532195E-4</v>
      </c>
      <c r="N35" s="8">
        <f t="shared" si="9"/>
        <v>-7.3456093055919212</v>
      </c>
      <c r="P35" s="56">
        <v>-7.3490679472</v>
      </c>
      <c r="Q35" s="4"/>
      <c r="R35" s="12">
        <f t="shared" si="0"/>
        <v>8.2809609250466093E-7</v>
      </c>
      <c r="S35" s="12">
        <f t="shared" si="1"/>
        <v>0</v>
      </c>
      <c r="T35" s="12">
        <f t="shared" si="4"/>
        <v>0</v>
      </c>
      <c r="U35" s="12">
        <f t="shared" si="5"/>
        <v>8.280960926060405E-7</v>
      </c>
      <c r="V35" s="12">
        <f t="shared" si="6"/>
        <v>8.2809643586756465E-7</v>
      </c>
      <c r="W35" s="12"/>
      <c r="X35" s="95">
        <f t="shared" si="2"/>
        <v>1.1401689999956943E-4</v>
      </c>
      <c r="Y35" s="4"/>
    </row>
    <row r="36" spans="1:25" ht="15" x14ac:dyDescent="0.25">
      <c r="A36" s="1">
        <v>1987</v>
      </c>
      <c r="B36" s="15">
        <v>101.47687999999999</v>
      </c>
      <c r="C36" s="15">
        <f>Pääoma!B35</f>
        <v>306.40593421</v>
      </c>
      <c r="D36" s="18">
        <f>Työvoimapanos!D35</f>
        <v>4395699.9999995558</v>
      </c>
      <c r="E36" s="132">
        <f t="shared" si="7"/>
        <v>6.5795299264187392E-4</v>
      </c>
      <c r="F36" s="8">
        <f t="shared" si="3"/>
        <v>-7.3263770689448888</v>
      </c>
      <c r="G36" s="15"/>
      <c r="H36" s="56">
        <v>-7.3281921445</v>
      </c>
      <c r="I36" s="4"/>
      <c r="J36" s="3">
        <v>101.47693262666601</v>
      </c>
      <c r="K36" s="15">
        <f>Pääoma!F35</f>
        <v>306.40593421</v>
      </c>
      <c r="L36" s="18">
        <f>Työvoimapanos!O35</f>
        <v>4395699.9999995558</v>
      </c>
      <c r="M36" s="132">
        <f t="shared" si="8"/>
        <v>6.5795333386119799E-4</v>
      </c>
      <c r="N36" s="8">
        <f t="shared" si="9"/>
        <v>-7.3263765503375726</v>
      </c>
      <c r="P36" s="56">
        <v>-7.3284654959999997</v>
      </c>
      <c r="Q36" s="4"/>
      <c r="R36" s="12">
        <f t="shared" si="0"/>
        <v>-5.1860745047340568E-7</v>
      </c>
      <c r="S36" s="12">
        <f t="shared" si="1"/>
        <v>0</v>
      </c>
      <c r="T36" s="12">
        <f t="shared" si="4"/>
        <v>0</v>
      </c>
      <c r="U36" s="12">
        <f t="shared" si="5"/>
        <v>-5.1860745050069941E-7</v>
      </c>
      <c r="V36" s="12">
        <f t="shared" si="6"/>
        <v>-5.1860731620223532E-7</v>
      </c>
      <c r="W36" s="12"/>
      <c r="X36" s="95">
        <f t="shared" si="2"/>
        <v>2.7335149999974107E-4</v>
      </c>
      <c r="Y36" s="4"/>
    </row>
    <row r="37" spans="1:25" ht="15" x14ac:dyDescent="0.25">
      <c r="A37" s="1">
        <v>1988</v>
      </c>
      <c r="B37" s="15">
        <v>106.77527000000001</v>
      </c>
      <c r="C37" s="15">
        <f>Pääoma!B36</f>
        <v>316.22821464999998</v>
      </c>
      <c r="D37" s="18">
        <f>Työvoimapanos!D36</f>
        <v>4460000.0000064727</v>
      </c>
      <c r="E37" s="132">
        <f t="shared" si="7"/>
        <v>6.7827030596781556E-4</v>
      </c>
      <c r="F37" s="8">
        <f t="shared" si="3"/>
        <v>-7.295964668107719</v>
      </c>
      <c r="G37" s="15"/>
      <c r="H37" s="56">
        <v>-7.3077766586999999</v>
      </c>
      <c r="I37" s="4"/>
      <c r="J37" s="3">
        <v>106.77554203063038</v>
      </c>
      <c r="K37" s="15">
        <f>Pääoma!F36</f>
        <v>316.22821464999998</v>
      </c>
      <c r="L37" s="18">
        <f>Työvoimapanos!O36</f>
        <v>4460000.0000064727</v>
      </c>
      <c r="M37" s="132">
        <f t="shared" si="8"/>
        <v>6.7827203399246851E-4</v>
      </c>
      <c r="N37" s="8">
        <f t="shared" si="9"/>
        <v>-7.2959621204177543</v>
      </c>
      <c r="P37" s="56">
        <v>-7.3081503300000001</v>
      </c>
      <c r="Q37" s="4"/>
      <c r="R37" s="12">
        <f t="shared" si="0"/>
        <v>-2.5476932099545909E-6</v>
      </c>
      <c r="S37" s="12">
        <f t="shared" si="1"/>
        <v>0</v>
      </c>
      <c r="T37" s="12">
        <f t="shared" si="4"/>
        <v>0</v>
      </c>
      <c r="U37" s="12">
        <f t="shared" si="5"/>
        <v>-2.5476932098372023E-6</v>
      </c>
      <c r="V37" s="12">
        <f t="shared" si="6"/>
        <v>-2.5476899647713935E-6</v>
      </c>
      <c r="W37" s="12"/>
      <c r="X37" s="95">
        <f t="shared" si="2"/>
        <v>3.736713000002112E-4</v>
      </c>
      <c r="Y37" s="4"/>
    </row>
    <row r="38" spans="1:25" ht="15" x14ac:dyDescent="0.25">
      <c r="A38" s="1">
        <v>1989</v>
      </c>
      <c r="B38" s="15">
        <v>112.19708</v>
      </c>
      <c r="C38" s="15">
        <f>Pääoma!B37</f>
        <v>328.69607236000002</v>
      </c>
      <c r="D38" s="18">
        <f>Työvoimapanos!D37</f>
        <v>4492200.0000106525</v>
      </c>
      <c r="E38" s="132">
        <f t="shared" si="7"/>
        <v>6.9985016586062506E-4</v>
      </c>
      <c r="F38" s="8">
        <f t="shared" si="3"/>
        <v>-7.2646442946031131</v>
      </c>
      <c r="G38" s="15"/>
      <c r="H38" s="56">
        <v>-7.2888178841000002</v>
      </c>
      <c r="I38" s="4"/>
      <c r="J38" s="3">
        <v>112.19764780830535</v>
      </c>
      <c r="K38" s="15">
        <f>Pääoma!F37</f>
        <v>328.69607236000002</v>
      </c>
      <c r="L38" s="18">
        <f>Työvoimapanos!O37</f>
        <v>4492200.0000106525</v>
      </c>
      <c r="M38" s="132">
        <f t="shared" si="8"/>
        <v>6.9985370767059612E-4</v>
      </c>
      <c r="N38" s="8">
        <f t="shared" si="9"/>
        <v>-7.2646392338041279</v>
      </c>
      <c r="P38" s="56">
        <v>-7.2891129939999999</v>
      </c>
      <c r="Q38" s="4"/>
      <c r="R38" s="12">
        <f t="shared" si="0"/>
        <v>-5.0608117907185657E-6</v>
      </c>
      <c r="S38" s="12">
        <f t="shared" si="1"/>
        <v>0</v>
      </c>
      <c r="T38" s="12">
        <f t="shared" si="4"/>
        <v>0</v>
      </c>
      <c r="U38" s="12">
        <f t="shared" si="5"/>
        <v>-5.0608117906385295E-6</v>
      </c>
      <c r="V38" s="12">
        <f t="shared" si="6"/>
        <v>-5.0607989852125002E-6</v>
      </c>
      <c r="W38" s="12"/>
      <c r="X38" s="95">
        <f t="shared" si="2"/>
        <v>2.951098999997015E-4</v>
      </c>
      <c r="Y38" s="4"/>
    </row>
    <row r="39" spans="1:25" ht="15" x14ac:dyDescent="0.25">
      <c r="A39" s="1">
        <v>1990</v>
      </c>
      <c r="B39" s="15">
        <v>112.76394000000001</v>
      </c>
      <c r="C39" s="15">
        <f>Pääoma!B38</f>
        <v>339.02144464000003</v>
      </c>
      <c r="D39" s="18">
        <f>Työvoimapanos!D38</f>
        <v>4388300.0000054054</v>
      </c>
      <c r="E39" s="132">
        <f t="shared" si="7"/>
        <v>7.0647716803399466E-4</v>
      </c>
      <c r="F39" s="8">
        <f t="shared" si="3"/>
        <v>-7.2552196733696901</v>
      </c>
      <c r="G39" s="15"/>
      <c r="H39" s="56">
        <v>-7.2722945802999996</v>
      </c>
      <c r="I39" s="4"/>
      <c r="J39" s="3">
        <v>112.76468734874129</v>
      </c>
      <c r="K39" s="15">
        <f>Pääoma!F38</f>
        <v>339.02144464000003</v>
      </c>
      <c r="L39" s="18">
        <f>Työvoimapanos!O38</f>
        <v>4388300.0000054054</v>
      </c>
      <c r="M39" s="132">
        <f t="shared" si="8"/>
        <v>7.064818502473182E-4</v>
      </c>
      <c r="N39" s="8">
        <f t="shared" si="9"/>
        <v>-7.2552130458408479</v>
      </c>
      <c r="P39" s="56">
        <v>-7.2724699441</v>
      </c>
      <c r="Q39" s="4"/>
      <c r="R39" s="12">
        <f t="shared" si="0"/>
        <v>-6.6275508046742286E-6</v>
      </c>
      <c r="S39" s="12">
        <f t="shared" si="1"/>
        <v>0</v>
      </c>
      <c r="T39" s="12">
        <f t="shared" si="4"/>
        <v>0</v>
      </c>
      <c r="U39" s="12">
        <f t="shared" si="5"/>
        <v>-6.6275508047593935E-6</v>
      </c>
      <c r="V39" s="12">
        <f t="shared" si="6"/>
        <v>-6.6275288421735468E-6</v>
      </c>
      <c r="W39" s="12"/>
      <c r="X39" s="95">
        <f t="shared" si="2"/>
        <v>1.7536380000038321E-4</v>
      </c>
      <c r="Y39" s="4"/>
    </row>
    <row r="40" spans="1:25" ht="15" x14ac:dyDescent="0.25">
      <c r="A40" s="1">
        <v>1991</v>
      </c>
      <c r="B40" s="15">
        <v>105.99818999999999</v>
      </c>
      <c r="C40" s="15">
        <f>Pääoma!B39</f>
        <v>343.7638268</v>
      </c>
      <c r="D40" s="18">
        <f>Työvoimapanos!D39</f>
        <v>4090199.9999997756</v>
      </c>
      <c r="E40" s="132">
        <f t="shared" si="7"/>
        <v>6.9178865292865714E-4</v>
      </c>
      <c r="F40" s="8">
        <f t="shared" si="3"/>
        <v>-7.2762300638381969</v>
      </c>
      <c r="G40" s="15"/>
      <c r="H40" s="56">
        <v>-7.2572465479000003</v>
      </c>
      <c r="I40" s="4"/>
      <c r="J40" s="3">
        <v>105.9987531867759</v>
      </c>
      <c r="K40" s="15">
        <f>Pääoma!F39</f>
        <v>343.7638268</v>
      </c>
      <c r="L40" s="18">
        <f>Työvoimapanos!O39</f>
        <v>4090199.9999997756</v>
      </c>
      <c r="M40" s="132">
        <f t="shared" si="8"/>
        <v>6.9179232852180686E-4</v>
      </c>
      <c r="N40" s="8">
        <f t="shared" si="9"/>
        <v>-7.2762247506787956</v>
      </c>
      <c r="P40" s="56">
        <v>-7.2572624738</v>
      </c>
      <c r="Q40" s="4"/>
      <c r="R40" s="12">
        <f t="shared" si="0"/>
        <v>-5.3131735165137071E-6</v>
      </c>
      <c r="S40" s="12">
        <f t="shared" si="1"/>
        <v>0</v>
      </c>
      <c r="T40" s="12">
        <f t="shared" si="4"/>
        <v>0</v>
      </c>
      <c r="U40" s="12">
        <f t="shared" si="5"/>
        <v>-5.3131735164510758E-6</v>
      </c>
      <c r="V40" s="12">
        <f t="shared" si="6"/>
        <v>-5.3131594013322569E-6</v>
      </c>
      <c r="W40" s="12"/>
      <c r="X40" s="95">
        <f t="shared" si="2"/>
        <v>1.59258999996581E-5</v>
      </c>
      <c r="Y40" s="4"/>
    </row>
    <row r="41" spans="1:25" ht="15" x14ac:dyDescent="0.25">
      <c r="A41" s="1">
        <v>1992</v>
      </c>
      <c r="B41" s="15">
        <v>102.30417</v>
      </c>
      <c r="C41" s="15">
        <f>Pääoma!B40</f>
        <v>344.53876069</v>
      </c>
      <c r="D41" s="18">
        <f>Työvoimapanos!D40</f>
        <v>3813500.0000040899</v>
      </c>
      <c r="E41" s="132">
        <f t="shared" ref="E41:E64" si="10">B41/(C41^0.35*D41^0.65)</f>
        <v>6.982317091568217E-4</v>
      </c>
      <c r="F41" s="8">
        <f t="shared" si="3"/>
        <v>-7.2669595487462191</v>
      </c>
      <c r="G41" s="15"/>
      <c r="H41" s="56">
        <v>-7.2393528594000003</v>
      </c>
      <c r="I41" s="4"/>
      <c r="J41" s="3">
        <v>102.30446710104586</v>
      </c>
      <c r="K41" s="15">
        <f>Pääoma!F40</f>
        <v>344.53876069</v>
      </c>
      <c r="L41" s="18">
        <f>Työvoimapanos!O40</f>
        <v>3813500.0000040899</v>
      </c>
      <c r="M41" s="132">
        <f t="shared" si="8"/>
        <v>6.9823373688815502E-4</v>
      </c>
      <c r="N41" s="8">
        <f t="shared" si="9"/>
        <v>-7.2669566446552674</v>
      </c>
      <c r="P41" s="56">
        <v>-7.2392711376000003</v>
      </c>
      <c r="Q41" s="4"/>
      <c r="R41" s="12">
        <f t="shared" ref="R41:R64" si="11">(B41-J41)/B41</f>
        <v>-2.9040951689403198E-6</v>
      </c>
      <c r="S41" s="12">
        <f t="shared" ref="S41:S64" si="12">(C41-K41)/C41</f>
        <v>0</v>
      </c>
      <c r="T41" s="12">
        <f t="shared" si="4"/>
        <v>0</v>
      </c>
      <c r="U41" s="12">
        <f t="shared" si="5"/>
        <v>-2.9040951688786714E-6</v>
      </c>
      <c r="V41" s="12">
        <f t="shared" si="6"/>
        <v>-2.9040909517163982E-6</v>
      </c>
      <c r="W41" s="12"/>
      <c r="X41" s="95">
        <f t="shared" si="2"/>
        <v>-8.1721799999989742E-5</v>
      </c>
      <c r="Y41" s="4"/>
    </row>
    <row r="42" spans="1:25" ht="15" x14ac:dyDescent="0.25">
      <c r="A42" s="1">
        <v>1993</v>
      </c>
      <c r="B42" s="15">
        <v>101.47479</v>
      </c>
      <c r="C42" s="15">
        <f>Pääoma!B41</f>
        <v>342.40292182000002</v>
      </c>
      <c r="D42" s="18">
        <f>Työvoimapanos!D41</f>
        <v>3590899.9999904251</v>
      </c>
      <c r="E42" s="132">
        <f t="shared" si="10"/>
        <v>7.2175183612741836E-4</v>
      </c>
      <c r="F42" s="8">
        <f t="shared" si="3"/>
        <v>-7.2338291954308138</v>
      </c>
      <c r="G42" s="15"/>
      <c r="H42" s="56">
        <v>-7.2176511192000001</v>
      </c>
      <c r="I42" s="4"/>
      <c r="J42" s="3">
        <v>101.47496639036369</v>
      </c>
      <c r="K42" s="15">
        <f>Pääoma!F41</f>
        <v>342.40292182000002</v>
      </c>
      <c r="L42" s="18">
        <f>Työvoimapanos!O41</f>
        <v>3590899.9999904251</v>
      </c>
      <c r="M42" s="132">
        <f t="shared" si="8"/>
        <v>7.2175309072542121E-4</v>
      </c>
      <c r="N42" s="8">
        <f t="shared" si="9"/>
        <v>-7.2338274571644874</v>
      </c>
      <c r="P42" s="56">
        <v>-7.2174395718</v>
      </c>
      <c r="Q42" s="4"/>
      <c r="R42" s="12">
        <f t="shared" si="11"/>
        <v>-1.7382678366846145E-6</v>
      </c>
      <c r="S42" s="12">
        <f t="shared" si="12"/>
        <v>0</v>
      </c>
      <c r="T42" s="12">
        <f t="shared" si="4"/>
        <v>0</v>
      </c>
      <c r="U42" s="12">
        <f t="shared" si="5"/>
        <v>-1.7382678367452367E-6</v>
      </c>
      <c r="V42" s="12">
        <f t="shared" si="6"/>
        <v>-1.7382663264342568E-6</v>
      </c>
      <c r="W42" s="12"/>
      <c r="X42" s="95">
        <f t="shared" si="2"/>
        <v>-2.1154740000017824E-4</v>
      </c>
      <c r="Y42" s="4"/>
    </row>
    <row r="43" spans="1:25" ht="15" x14ac:dyDescent="0.25">
      <c r="A43" s="1">
        <v>1994</v>
      </c>
      <c r="B43" s="15">
        <v>105.18241</v>
      </c>
      <c r="C43" s="15">
        <f>Pääoma!B42</f>
        <v>340.46255349</v>
      </c>
      <c r="D43" s="18">
        <f>Työvoimapanos!D42</f>
        <v>3580300.000005804</v>
      </c>
      <c r="E43" s="132">
        <f t="shared" si="10"/>
        <v>7.5105410150731571E-4</v>
      </c>
      <c r="F43" s="8">
        <f t="shared" si="3"/>
        <v>-7.1940328695041442</v>
      </c>
      <c r="G43" s="15"/>
      <c r="H43" s="56">
        <v>-7.1930059946</v>
      </c>
      <c r="I43" s="4"/>
      <c r="J43" s="3">
        <v>105.18259778206041</v>
      </c>
      <c r="K43" s="15">
        <f>Pääoma!F42</f>
        <v>340.46255349</v>
      </c>
      <c r="L43" s="18">
        <f>Työvoimapanos!O42</f>
        <v>3580300.000005804</v>
      </c>
      <c r="M43" s="132">
        <f t="shared" si="8"/>
        <v>7.5105544236351652E-4</v>
      </c>
      <c r="N43" s="8">
        <f t="shared" si="9"/>
        <v>-7.1940310842066522</v>
      </c>
      <c r="P43" s="56">
        <v>-7.1928054760000002</v>
      </c>
      <c r="Q43" s="4"/>
      <c r="R43" s="12">
        <f t="shared" si="11"/>
        <v>-1.7852990857304573E-6</v>
      </c>
      <c r="S43" s="12">
        <f t="shared" si="12"/>
        <v>0</v>
      </c>
      <c r="T43" s="12">
        <f t="shared" si="4"/>
        <v>0</v>
      </c>
      <c r="U43" s="12">
        <f t="shared" si="5"/>
        <v>-1.7852990858043516E-6</v>
      </c>
      <c r="V43" s="12">
        <f t="shared" si="6"/>
        <v>-1.7852974920629094E-6</v>
      </c>
      <c r="W43" s="12"/>
      <c r="X43" s="95">
        <f t="shared" si="2"/>
        <v>-2.0051859999981048E-4</v>
      </c>
      <c r="Y43" s="4"/>
    </row>
    <row r="44" spans="1:25" ht="15" x14ac:dyDescent="0.25">
      <c r="A44" s="1">
        <v>1995</v>
      </c>
      <c r="B44" s="15">
        <v>109.35021</v>
      </c>
      <c r="C44" s="15">
        <f>Pääoma!B43</f>
        <v>341.07407848000003</v>
      </c>
      <c r="D44" s="18">
        <f>Työvoimapanos!D43</f>
        <v>3645799.999993281</v>
      </c>
      <c r="E44" s="132">
        <f t="shared" si="10"/>
        <v>7.7118260505078739E-4</v>
      </c>
      <c r="F44" s="8">
        <f t="shared" si="3"/>
        <v>-7.167585370613728</v>
      </c>
      <c r="G44" s="15"/>
      <c r="H44" s="56">
        <v>-7.1672152480999998</v>
      </c>
      <c r="I44" s="4"/>
      <c r="J44" s="3">
        <v>109.35045397294084</v>
      </c>
      <c r="K44" s="15">
        <f>Pääoma!F43</f>
        <v>341.07407848000003</v>
      </c>
      <c r="L44" s="18">
        <f>Työvoimapanos!O43</f>
        <v>3645799.999993281</v>
      </c>
      <c r="M44" s="132">
        <f t="shared" si="8"/>
        <v>7.7118432564819706E-4</v>
      </c>
      <c r="N44" s="8">
        <f t="shared" si="9"/>
        <v>-7.1675831395007865</v>
      </c>
      <c r="P44" s="56">
        <v>-7.1670866833</v>
      </c>
      <c r="Q44" s="4"/>
      <c r="R44" s="12">
        <f t="shared" si="11"/>
        <v>-2.2311154302909571E-6</v>
      </c>
      <c r="S44" s="12">
        <f t="shared" si="12"/>
        <v>0</v>
      </c>
      <c r="T44" s="12">
        <f t="shared" si="4"/>
        <v>0</v>
      </c>
      <c r="U44" s="12">
        <f t="shared" si="5"/>
        <v>-2.2311154302461071E-6</v>
      </c>
      <c r="V44" s="12">
        <f t="shared" si="6"/>
        <v>-2.2311129415086839E-6</v>
      </c>
      <c r="W44" s="12"/>
      <c r="X44" s="95">
        <f t="shared" si="2"/>
        <v>-1.2856479999978632E-4</v>
      </c>
      <c r="Y44" s="4"/>
    </row>
    <row r="45" spans="1:25" ht="15" x14ac:dyDescent="0.25">
      <c r="A45" s="1">
        <v>1996</v>
      </c>
      <c r="B45" s="15">
        <v>113.25341</v>
      </c>
      <c r="C45" s="15">
        <f>Pääoma!B44</f>
        <v>342.92963255000001</v>
      </c>
      <c r="D45" s="18">
        <f>Työvoimapanos!D44</f>
        <v>3695200.0000047865</v>
      </c>
      <c r="E45" s="132">
        <f t="shared" si="10"/>
        <v>7.9025065651425642E-4</v>
      </c>
      <c r="F45" s="8">
        <f t="shared" si="3"/>
        <v>-7.1431603761010889</v>
      </c>
      <c r="G45" s="15">
        <v>79.399877118111121</v>
      </c>
      <c r="H45" s="56">
        <v>-7.1408020630999998</v>
      </c>
      <c r="I45" s="4"/>
      <c r="J45" s="3">
        <v>113.25370495930922</v>
      </c>
      <c r="K45" s="15">
        <f>Pääoma!F44</f>
        <v>342.92963255000001</v>
      </c>
      <c r="L45" s="18">
        <f>Työvoimapanos!O44</f>
        <v>3695200.0000047865</v>
      </c>
      <c r="M45" s="132">
        <f t="shared" si="8"/>
        <v>7.9025271465791636E-4</v>
      </c>
      <c r="N45" s="8">
        <f t="shared" si="9"/>
        <v>-7.1431577716856891</v>
      </c>
      <c r="O45" s="15">
        <v>79.399877118111121</v>
      </c>
      <c r="P45" s="56">
        <v>-7.1407157652000004</v>
      </c>
      <c r="Q45" s="4"/>
      <c r="R45" s="12">
        <f t="shared" si="11"/>
        <v>-2.6044187915879494E-6</v>
      </c>
      <c r="S45" s="12">
        <f t="shared" si="12"/>
        <v>0</v>
      </c>
      <c r="T45" s="12">
        <f t="shared" si="4"/>
        <v>0</v>
      </c>
      <c r="U45" s="12">
        <f t="shared" si="5"/>
        <v>-2.6044187916615612E-6</v>
      </c>
      <c r="V45" s="12">
        <f t="shared" si="6"/>
        <v>-2.6044153997872854E-6</v>
      </c>
      <c r="W45" s="12">
        <f t="shared" ref="W45:W61" si="13">(G45-O45)/G45</f>
        <v>0</v>
      </c>
      <c r="X45" s="95">
        <f t="shared" si="2"/>
        <v>-8.6297899999365768E-5</v>
      </c>
      <c r="Y45" s="4"/>
    </row>
    <row r="46" spans="1:25" ht="15" x14ac:dyDescent="0.25">
      <c r="A46" s="1">
        <v>1997</v>
      </c>
      <c r="B46" s="15">
        <v>120.28167999999999</v>
      </c>
      <c r="C46" s="15">
        <f>Pääoma!B45</f>
        <v>346.66825025000003</v>
      </c>
      <c r="D46" s="18">
        <f>Työvoimapanos!D45</f>
        <v>3811800.0000051949</v>
      </c>
      <c r="E46" s="132">
        <f t="shared" si="10"/>
        <v>8.193981756481109E-4</v>
      </c>
      <c r="F46" s="8">
        <f t="shared" si="3"/>
        <v>-7.1069404193024672</v>
      </c>
      <c r="G46" s="15">
        <v>86.946619633697793</v>
      </c>
      <c r="H46" s="56">
        <v>-7.1147953952999998</v>
      </c>
      <c r="I46" s="4"/>
      <c r="J46" s="3">
        <v>120.28215258503951</v>
      </c>
      <c r="K46" s="15">
        <f>Pääoma!F45</f>
        <v>346.66825025000003</v>
      </c>
      <c r="L46" s="18">
        <f>Työvoimapanos!O45</f>
        <v>3811800.0000051949</v>
      </c>
      <c r="M46" s="132">
        <f t="shared" si="8"/>
        <v>8.194013950520902E-4</v>
      </c>
      <c r="N46" s="8">
        <f t="shared" si="9"/>
        <v>-7.1069364903241627</v>
      </c>
      <c r="O46" s="15">
        <v>86.946619633697793</v>
      </c>
      <c r="P46" s="56">
        <v>-7.1147650981000004</v>
      </c>
      <c r="Q46" s="4"/>
      <c r="R46" s="12">
        <f t="shared" si="11"/>
        <v>-3.9289860227885558E-6</v>
      </c>
      <c r="S46" s="12">
        <f t="shared" si="12"/>
        <v>0</v>
      </c>
      <c r="T46" s="12">
        <f t="shared" si="4"/>
        <v>0</v>
      </c>
      <c r="U46" s="12">
        <f t="shared" si="5"/>
        <v>-3.9289860228844137E-6</v>
      </c>
      <c r="V46" s="12">
        <f t="shared" si="6"/>
        <v>-3.928978304479358E-6</v>
      </c>
      <c r="W46" s="12">
        <f t="shared" si="13"/>
        <v>0</v>
      </c>
      <c r="X46" s="95">
        <f t="shared" ref="X46:X67" si="14">H46-P46</f>
        <v>-3.0297199999473889E-5</v>
      </c>
      <c r="Y46" s="4"/>
    </row>
    <row r="47" spans="1:25" ht="15" x14ac:dyDescent="0.25">
      <c r="A47" s="1">
        <v>1998</v>
      </c>
      <c r="B47" s="15">
        <v>126.3331</v>
      </c>
      <c r="C47" s="15">
        <f>Pääoma!B46</f>
        <v>352.11904884</v>
      </c>
      <c r="D47" s="18">
        <f>Työvoimapanos!D46</f>
        <v>3860600.0000086618</v>
      </c>
      <c r="E47" s="132">
        <f t="shared" si="10"/>
        <v>8.4888761416284286E-4</v>
      </c>
      <c r="F47" s="8">
        <f t="shared" si="3"/>
        <v>-7.0715837547816847</v>
      </c>
      <c r="G47" s="15">
        <v>89.505540649090307</v>
      </c>
      <c r="H47" s="56">
        <v>-7.0883687533000002</v>
      </c>
      <c r="I47" s="4"/>
      <c r="J47" s="3">
        <v>126.33322388796921</v>
      </c>
      <c r="K47" s="15">
        <f>Pääoma!F46</f>
        <v>352.11904884</v>
      </c>
      <c r="L47" s="18">
        <f>Työvoimapanos!O46</f>
        <v>3860600.0000086618</v>
      </c>
      <c r="M47" s="132">
        <f t="shared" si="8"/>
        <v>8.4888844662054882E-4</v>
      </c>
      <c r="N47" s="8">
        <f t="shared" si="9"/>
        <v>-7.0715827741367985</v>
      </c>
      <c r="O47" s="15">
        <v>89.505540649090307</v>
      </c>
      <c r="P47" s="56">
        <v>-7.0883937230000003</v>
      </c>
      <c r="Q47" s="4"/>
      <c r="R47" s="12">
        <f t="shared" si="11"/>
        <v>-9.8064536696709458E-7</v>
      </c>
      <c r="S47" s="12">
        <f t="shared" si="12"/>
        <v>0</v>
      </c>
      <c r="T47" s="12">
        <f t="shared" si="4"/>
        <v>0</v>
      </c>
      <c r="U47" s="12">
        <f t="shared" si="5"/>
        <v>-9.8064536703041411E-7</v>
      </c>
      <c r="V47" s="12">
        <f t="shared" si="6"/>
        <v>-9.8064488618376799E-7</v>
      </c>
      <c r="W47" s="12">
        <f t="shared" si="13"/>
        <v>0</v>
      </c>
      <c r="X47" s="95">
        <f t="shared" si="14"/>
        <v>2.4969700000099238E-5</v>
      </c>
      <c r="Y47" s="4"/>
    </row>
    <row r="48" spans="1:25" ht="15" x14ac:dyDescent="0.25">
      <c r="A48" s="1">
        <v>1999</v>
      </c>
      <c r="B48" s="15">
        <v>131.27067</v>
      </c>
      <c r="C48" s="15">
        <f>Pääoma!B47</f>
        <v>357.75185555000002</v>
      </c>
      <c r="D48" s="18">
        <f>Työvoimapanos!D47</f>
        <v>3964699.9999949913</v>
      </c>
      <c r="E48" s="132">
        <f t="shared" si="10"/>
        <v>8.6213906387741393E-4</v>
      </c>
      <c r="F48" s="8">
        <f t="shared" si="3"/>
        <v>-7.056093973308422</v>
      </c>
      <c r="G48" s="15">
        <v>86.072865343747111</v>
      </c>
      <c r="H48" s="56">
        <v>-7.0621712343</v>
      </c>
      <c r="I48" s="4"/>
      <c r="J48" s="3">
        <v>131.27039094953312</v>
      </c>
      <c r="K48" s="15">
        <f>Pääoma!F47</f>
        <v>357.75185555000002</v>
      </c>
      <c r="L48" s="18">
        <f>Työvoimapanos!O47</f>
        <v>3964699.9999949913</v>
      </c>
      <c r="M48" s="132">
        <f t="shared" si="8"/>
        <v>8.6213723117321362E-4</v>
      </c>
      <c r="N48" s="8">
        <f t="shared" si="9"/>
        <v>-7.0560960990746997</v>
      </c>
      <c r="O48" s="15">
        <v>86.072865343747111</v>
      </c>
      <c r="P48" s="56">
        <v>-7.0622346649000001</v>
      </c>
      <c r="Q48" s="4"/>
      <c r="R48" s="12">
        <f t="shared" si="11"/>
        <v>2.1257640177533717E-6</v>
      </c>
      <c r="S48" s="12">
        <f t="shared" si="12"/>
        <v>0</v>
      </c>
      <c r="T48" s="12">
        <f t="shared" si="4"/>
        <v>0</v>
      </c>
      <c r="U48" s="12">
        <f t="shared" si="5"/>
        <v>2.1257640177806911E-6</v>
      </c>
      <c r="V48" s="12">
        <f t="shared" si="6"/>
        <v>2.1257662776719144E-6</v>
      </c>
      <c r="W48" s="12">
        <f t="shared" si="13"/>
        <v>0</v>
      </c>
      <c r="X48" s="95">
        <f t="shared" si="14"/>
        <v>6.3430600000025095E-5</v>
      </c>
      <c r="Y48" s="4"/>
    </row>
    <row r="49" spans="1:25" ht="15" x14ac:dyDescent="0.25">
      <c r="A49" s="1">
        <v>2000</v>
      </c>
      <c r="B49" s="15">
        <v>138.25918999999999</v>
      </c>
      <c r="C49" s="15">
        <f>Pääoma!B48</f>
        <v>364.28234504</v>
      </c>
      <c r="D49" s="18">
        <f>Työvoimapanos!D48</f>
        <v>4014899.9999942044</v>
      </c>
      <c r="E49" s="132">
        <f t="shared" si="10"/>
        <v>8.9495683395420791E-4</v>
      </c>
      <c r="F49" s="8">
        <f t="shared" si="3"/>
        <v>-7.018735071071295</v>
      </c>
      <c r="G49" s="15">
        <v>87.368198651845631</v>
      </c>
      <c r="H49" s="56">
        <v>-7.0361186266000004</v>
      </c>
      <c r="I49" s="4"/>
      <c r="J49" s="3">
        <v>138.25883403347456</v>
      </c>
      <c r="K49" s="15">
        <f>Pääoma!F48</f>
        <v>364.28234504</v>
      </c>
      <c r="L49" s="18">
        <f>Työvoimapanos!O48</f>
        <v>4014899.9999942044</v>
      </c>
      <c r="M49" s="132">
        <f t="shared" si="8"/>
        <v>8.949545297697657E-4</v>
      </c>
      <c r="N49" s="8">
        <f t="shared" si="9"/>
        <v>-7.0187376457065414</v>
      </c>
      <c r="O49" s="15">
        <v>87.368198651845631</v>
      </c>
      <c r="P49" s="56">
        <v>-7.0362447696999997</v>
      </c>
      <c r="Q49" s="4"/>
      <c r="R49" s="12">
        <f t="shared" si="11"/>
        <v>2.5746319317573374E-6</v>
      </c>
      <c r="S49" s="12">
        <f t="shared" si="12"/>
        <v>0</v>
      </c>
      <c r="T49" s="12">
        <f t="shared" si="4"/>
        <v>0</v>
      </c>
      <c r="U49" s="12">
        <f t="shared" si="5"/>
        <v>2.5746319317162119E-6</v>
      </c>
      <c r="V49" s="12">
        <f t="shared" si="6"/>
        <v>2.5746352463329458E-6</v>
      </c>
      <c r="W49" s="12">
        <f t="shared" si="13"/>
        <v>0</v>
      </c>
      <c r="X49" s="95">
        <f t="shared" si="14"/>
        <v>1.261430999992541E-4</v>
      </c>
      <c r="Y49" s="4"/>
    </row>
    <row r="50" spans="1:25" ht="15" x14ac:dyDescent="0.25">
      <c r="A50" s="1">
        <v>2001</v>
      </c>
      <c r="B50" s="15">
        <v>141.41668000000001</v>
      </c>
      <c r="C50" s="15">
        <f>Pääoma!B49</f>
        <v>371.06847819000001</v>
      </c>
      <c r="D50" s="18">
        <f>Työvoimapanos!D49</f>
        <v>4027799.9999885457</v>
      </c>
      <c r="E50" s="132">
        <f t="shared" si="10"/>
        <v>9.076064669658947E-4</v>
      </c>
      <c r="F50" s="8">
        <f t="shared" si="3"/>
        <v>-7.0046996797359178</v>
      </c>
      <c r="G50" s="15">
        <v>80.914392234024817</v>
      </c>
      <c r="H50" s="56">
        <v>-7.0117727566000001</v>
      </c>
      <c r="I50" s="4"/>
      <c r="J50" s="3">
        <v>141.41631669126843</v>
      </c>
      <c r="K50" s="15">
        <f>Pääoma!F49</f>
        <v>371.06847819000001</v>
      </c>
      <c r="L50" s="18">
        <f>Työvoimapanos!O49</f>
        <v>4027799.9999885457</v>
      </c>
      <c r="M50" s="132">
        <f t="shared" si="8"/>
        <v>9.0760413526531816E-4</v>
      </c>
      <c r="N50" s="8">
        <f t="shared" si="9"/>
        <v>-7.0047022488048443</v>
      </c>
      <c r="O50" s="15">
        <v>80.914392234024817</v>
      </c>
      <c r="P50" s="56">
        <v>-7.0119522676999999</v>
      </c>
      <c r="Q50" s="4"/>
      <c r="R50" s="12">
        <f t="shared" si="11"/>
        <v>2.5690656263397052E-6</v>
      </c>
      <c r="S50" s="12">
        <f t="shared" si="12"/>
        <v>0</v>
      </c>
      <c r="T50" s="12">
        <f t="shared" si="4"/>
        <v>0</v>
      </c>
      <c r="U50" s="12">
        <f t="shared" si="5"/>
        <v>2.5690656263581816E-6</v>
      </c>
      <c r="V50" s="12">
        <f t="shared" si="6"/>
        <v>2.5690689264834532E-6</v>
      </c>
      <c r="W50" s="12">
        <f t="shared" si="13"/>
        <v>0</v>
      </c>
      <c r="X50" s="95">
        <f t="shared" si="14"/>
        <v>1.795110999998073E-4</v>
      </c>
      <c r="Y50" s="4"/>
    </row>
    <row r="51" spans="1:25" ht="15" x14ac:dyDescent="0.25">
      <c r="A51" s="1">
        <v>2002</v>
      </c>
      <c r="B51" s="15">
        <v>144.01044999999999</v>
      </c>
      <c r="C51" s="15">
        <f>Pääoma!B50</f>
        <v>376.18407559000002</v>
      </c>
      <c r="D51" s="18">
        <f>Työvoimapanos!D50</f>
        <v>4049800.0000075856</v>
      </c>
      <c r="E51" s="132">
        <f t="shared" si="10"/>
        <v>9.165835116264258E-4</v>
      </c>
      <c r="F51" s="8">
        <f t="shared" si="3"/>
        <v>-6.9948573746759379</v>
      </c>
      <c r="G51" s="15">
        <v>80.677097863983832</v>
      </c>
      <c r="H51" s="56">
        <v>-6.9901334635000003</v>
      </c>
      <c r="I51" s="4"/>
      <c r="J51" s="3">
        <v>144.01035760271142</v>
      </c>
      <c r="K51" s="15">
        <f>Pääoma!F50</f>
        <v>376.18407559000002</v>
      </c>
      <c r="L51" s="18">
        <f>Työvoimapanos!O50</f>
        <v>4049800.0000075856</v>
      </c>
      <c r="M51" s="132">
        <f t="shared" si="8"/>
        <v>9.1658292354527464E-4</v>
      </c>
      <c r="N51" s="8">
        <f t="shared" si="9"/>
        <v>-6.9948580162774201</v>
      </c>
      <c r="O51" s="15">
        <v>80.677097863983832</v>
      </c>
      <c r="P51" s="56">
        <v>-6.9902572417000002</v>
      </c>
      <c r="Q51" s="4"/>
      <c r="R51" s="12">
        <f t="shared" si="11"/>
        <v>6.4160127663437474E-7</v>
      </c>
      <c r="S51" s="12">
        <f t="shared" si="12"/>
        <v>0</v>
      </c>
      <c r="T51" s="12">
        <f t="shared" si="4"/>
        <v>0</v>
      </c>
      <c r="U51" s="12">
        <f t="shared" si="5"/>
        <v>6.4160127658781863E-7</v>
      </c>
      <c r="V51" s="12">
        <f t="shared" si="6"/>
        <v>6.4160148216529933E-7</v>
      </c>
      <c r="W51" s="12">
        <f t="shared" si="13"/>
        <v>0</v>
      </c>
      <c r="X51" s="95">
        <f t="shared" si="14"/>
        <v>1.2377819999986883E-4</v>
      </c>
      <c r="Y51" s="4"/>
    </row>
    <row r="52" spans="1:25" ht="15" x14ac:dyDescent="0.25">
      <c r="A52" s="1">
        <v>2003</v>
      </c>
      <c r="B52" s="15">
        <v>146.90855999999999</v>
      </c>
      <c r="C52" s="15">
        <f>Pääoma!B51</f>
        <v>381.73603859000002</v>
      </c>
      <c r="D52" s="18">
        <f>Työvoimapanos!D51</f>
        <v>4034900.000001024</v>
      </c>
      <c r="E52" s="132">
        <f t="shared" si="10"/>
        <v>9.3247820712798798E-4</v>
      </c>
      <c r="F52" s="8">
        <f t="shared" si="3"/>
        <v>-6.9776647770915261</v>
      </c>
      <c r="G52" s="15">
        <v>80.293471287545529</v>
      </c>
      <c r="H52" s="56">
        <v>-6.9704377943000004</v>
      </c>
      <c r="I52" s="4"/>
      <c r="J52" s="3">
        <v>146.90869449934326</v>
      </c>
      <c r="K52" s="15">
        <f>Pääoma!F51</f>
        <v>381.73603859000002</v>
      </c>
      <c r="L52" s="18">
        <f>Työvoimapanos!O51</f>
        <v>4034900.000001024</v>
      </c>
      <c r="M52" s="132">
        <f t="shared" si="8"/>
        <v>9.3247906084070872E-4</v>
      </c>
      <c r="N52" s="8">
        <f t="shared" si="9"/>
        <v>-6.9776638615609281</v>
      </c>
      <c r="O52" s="15">
        <v>80.293471287545529</v>
      </c>
      <c r="P52" s="56">
        <v>-6.9706098027000003</v>
      </c>
      <c r="Q52" s="4"/>
      <c r="R52" s="12">
        <f t="shared" si="11"/>
        <v>-9.1553101644343162E-7</v>
      </c>
      <c r="S52" s="12">
        <f t="shared" si="12"/>
        <v>0</v>
      </c>
      <c r="T52" s="12">
        <f t="shared" si="4"/>
        <v>0</v>
      </c>
      <c r="U52" s="12">
        <f t="shared" si="5"/>
        <v>-9.1553101639932947E-7</v>
      </c>
      <c r="V52" s="12">
        <f t="shared" si="6"/>
        <v>-9.1553059800020264E-7</v>
      </c>
      <c r="W52" s="12">
        <f t="shared" si="13"/>
        <v>0</v>
      </c>
      <c r="X52" s="95">
        <f t="shared" si="14"/>
        <v>1.7200839999986783E-4</v>
      </c>
      <c r="Y52" s="4"/>
    </row>
    <row r="53" spans="1:25" ht="15" x14ac:dyDescent="0.25">
      <c r="A53" s="1">
        <v>2004</v>
      </c>
      <c r="B53" s="15">
        <v>152.96834999999999</v>
      </c>
      <c r="C53" s="15">
        <f>Pääoma!B52</f>
        <v>388.06139492</v>
      </c>
      <c r="D53" s="18">
        <f>Työvoimapanos!D52</f>
        <v>4061500.0000009895</v>
      </c>
      <c r="E53" s="132">
        <f t="shared" si="10"/>
        <v>9.6125858297478194E-4</v>
      </c>
      <c r="F53" s="8">
        <f t="shared" si="3"/>
        <v>-6.9472671082118183</v>
      </c>
      <c r="G53" s="15">
        <v>83.323377278887577</v>
      </c>
      <c r="H53" s="56">
        <v>-6.9527113180000004</v>
      </c>
      <c r="I53" s="4"/>
      <c r="J53" s="3">
        <v>152.96851973729972</v>
      </c>
      <c r="K53" s="15">
        <f>Pääoma!F52</f>
        <v>388.06139492</v>
      </c>
      <c r="L53" s="18">
        <f>Työvoimapanos!O52</f>
        <v>4061500.0000009895</v>
      </c>
      <c r="M53" s="132">
        <f t="shared" si="8"/>
        <v>9.6125964961004491E-4</v>
      </c>
      <c r="N53" s="8">
        <f t="shared" si="9"/>
        <v>-6.9472659985887786</v>
      </c>
      <c r="O53" s="15">
        <v>83.323377278887577</v>
      </c>
      <c r="P53" s="56">
        <v>-6.9529339376000001</v>
      </c>
      <c r="Q53" s="4"/>
      <c r="R53" s="12">
        <f t="shared" si="11"/>
        <v>-1.1096236556677733E-6</v>
      </c>
      <c r="S53" s="12">
        <f t="shared" si="12"/>
        <v>0</v>
      </c>
      <c r="T53" s="12">
        <f t="shared" si="4"/>
        <v>0</v>
      </c>
      <c r="U53" s="12">
        <f t="shared" si="5"/>
        <v>-1.1096236557587154E-6</v>
      </c>
      <c r="V53" s="12">
        <f t="shared" si="6"/>
        <v>-1.1096230396745455E-6</v>
      </c>
      <c r="W53" s="12">
        <f t="shared" si="13"/>
        <v>0</v>
      </c>
      <c r="X53" s="95">
        <f t="shared" si="14"/>
        <v>2.2261959999969605E-4</v>
      </c>
      <c r="Y53" s="4"/>
    </row>
    <row r="54" spans="1:25" ht="15" x14ac:dyDescent="0.25">
      <c r="A54" s="1">
        <v>2005</v>
      </c>
      <c r="B54" s="15">
        <v>157.429</v>
      </c>
      <c r="C54" s="15">
        <f>Pääoma!B53</f>
        <v>395.04939492</v>
      </c>
      <c r="D54" s="18">
        <f>Työvoimapanos!D53</f>
        <v>4099399.9999916037</v>
      </c>
      <c r="E54" s="132">
        <f t="shared" si="10"/>
        <v>9.7721146482471948E-4</v>
      </c>
      <c r="F54" s="8">
        <f t="shared" si="3"/>
        <v>-6.9308074863278586</v>
      </c>
      <c r="G54" s="15">
        <v>84.54265552624345</v>
      </c>
      <c r="H54" s="56">
        <v>-6.9376863886000004</v>
      </c>
      <c r="I54" s="4"/>
      <c r="J54" s="3">
        <v>157.429</v>
      </c>
      <c r="K54" s="15">
        <f>Pääoma!F53</f>
        <v>395.04939492</v>
      </c>
      <c r="L54" s="18">
        <f>Työvoimapanos!O53</f>
        <v>4099399.9999916037</v>
      </c>
      <c r="M54" s="132">
        <f t="shared" si="8"/>
        <v>9.7721146482471948E-4</v>
      </c>
      <c r="N54" s="8">
        <f t="shared" si="9"/>
        <v>-6.9308074863278586</v>
      </c>
      <c r="O54" s="15">
        <v>84.54265552624345</v>
      </c>
      <c r="P54" s="56">
        <v>-6.9379853049999998</v>
      </c>
      <c r="Q54" s="4"/>
      <c r="R54" s="12">
        <f t="shared" si="11"/>
        <v>0</v>
      </c>
      <c r="S54" s="12">
        <f t="shared" si="12"/>
        <v>0</v>
      </c>
      <c r="T54" s="12">
        <f t="shared" si="4"/>
        <v>0</v>
      </c>
      <c r="U54" s="12">
        <f t="shared" si="5"/>
        <v>0</v>
      </c>
      <c r="V54" s="12">
        <f t="shared" si="6"/>
        <v>0</v>
      </c>
      <c r="W54" s="12">
        <f t="shared" si="13"/>
        <v>0</v>
      </c>
      <c r="X54" s="95">
        <f t="shared" si="14"/>
        <v>2.9891639999934938E-4</v>
      </c>
      <c r="Y54" s="4"/>
    </row>
    <row r="55" spans="1:25" ht="15" x14ac:dyDescent="0.25">
      <c r="A55" s="1">
        <v>2006</v>
      </c>
      <c r="B55" s="15">
        <v>164.37254999999999</v>
      </c>
      <c r="C55" s="15">
        <f>Pääoma!B54</f>
        <v>402.30679075</v>
      </c>
      <c r="D55" s="18">
        <f>Työvoimapanos!D54</f>
        <v>4157800.0000025714</v>
      </c>
      <c r="E55" s="132">
        <f t="shared" si="10"/>
        <v>1.0045530551129967E-3</v>
      </c>
      <c r="F55" s="8">
        <f t="shared" si="3"/>
        <v>-6.9032125576695353</v>
      </c>
      <c r="G55" s="15">
        <v>86.46267711973681</v>
      </c>
      <c r="H55" s="56">
        <v>-6.9251429818999997</v>
      </c>
      <c r="I55" s="4"/>
      <c r="J55" s="3">
        <v>164.37300405176862</v>
      </c>
      <c r="K55" s="15">
        <f>Pääoma!F54</f>
        <v>402.30679075</v>
      </c>
      <c r="L55" s="18">
        <f>Työvoimapanos!O54</f>
        <v>4157800.0000025714</v>
      </c>
      <c r="M55" s="132">
        <f t="shared" si="8"/>
        <v>1.0045558300233533E-3</v>
      </c>
      <c r="N55" s="8">
        <f t="shared" si="9"/>
        <v>-6.9032097953400493</v>
      </c>
      <c r="O55" s="15">
        <v>86.46267711973681</v>
      </c>
      <c r="P55" s="56">
        <v>-6.9255136476999999</v>
      </c>
      <c r="Q55" s="4"/>
      <c r="R55" s="12">
        <f t="shared" si="11"/>
        <v>-2.7623333009556978E-6</v>
      </c>
      <c r="S55" s="12">
        <f t="shared" si="12"/>
        <v>0</v>
      </c>
      <c r="T55" s="12">
        <f t="shared" si="4"/>
        <v>0</v>
      </c>
      <c r="U55" s="12">
        <f t="shared" si="5"/>
        <v>-2.7623333008577338E-6</v>
      </c>
      <c r="V55" s="12">
        <f t="shared" si="6"/>
        <v>-2.7623294860390502E-6</v>
      </c>
      <c r="W55" s="12">
        <f t="shared" si="13"/>
        <v>0</v>
      </c>
      <c r="X55" s="95">
        <f t="shared" si="14"/>
        <v>3.7066580000022498E-4</v>
      </c>
      <c r="Y55" s="4"/>
    </row>
    <row r="56" spans="1:25" ht="15" x14ac:dyDescent="0.25">
      <c r="A56" s="1">
        <v>2007</v>
      </c>
      <c r="B56" s="15">
        <v>173.1422</v>
      </c>
      <c r="C56" s="15">
        <f>Pääoma!B55</f>
        <v>412.24841798</v>
      </c>
      <c r="D56" s="18">
        <f>Työvoimapanos!D55</f>
        <v>4242200.0000016354</v>
      </c>
      <c r="E56" s="132">
        <f t="shared" si="10"/>
        <v>1.035530849640177E-3</v>
      </c>
      <c r="F56" s="8">
        <f t="shared" si="3"/>
        <v>-6.8728410855490605</v>
      </c>
      <c r="G56" s="15">
        <v>86.833014448332804</v>
      </c>
      <c r="H56" s="56">
        <v>-6.9158691456000003</v>
      </c>
      <c r="I56" s="4"/>
      <c r="J56" s="3">
        <v>173.14274217985536</v>
      </c>
      <c r="K56" s="15">
        <f>Pääoma!F55</f>
        <v>412.24841798</v>
      </c>
      <c r="L56" s="18">
        <f>Työvoimapanos!O55</f>
        <v>4242200.0000016354</v>
      </c>
      <c r="M56" s="132">
        <f t="shared" si="8"/>
        <v>1.0355340923156558E-3</v>
      </c>
      <c r="N56" s="8">
        <f t="shared" si="9"/>
        <v>-6.872837954140274</v>
      </c>
      <c r="O56" s="15">
        <v>86.833014448332804</v>
      </c>
      <c r="P56" s="56">
        <v>-6.9162904266999998</v>
      </c>
      <c r="Q56" s="4"/>
      <c r="R56" s="12">
        <f t="shared" si="11"/>
        <v>-3.1314136897788449E-6</v>
      </c>
      <c r="S56" s="12">
        <f t="shared" si="12"/>
        <v>0</v>
      </c>
      <c r="T56" s="12">
        <f t="shared" si="4"/>
        <v>0</v>
      </c>
      <c r="U56" s="12">
        <f t="shared" si="5"/>
        <v>-3.1314136898508897E-6</v>
      </c>
      <c r="V56" s="12">
        <f t="shared" si="6"/>
        <v>-3.1314087864942053E-6</v>
      </c>
      <c r="W56" s="12">
        <f t="shared" si="13"/>
        <v>0</v>
      </c>
      <c r="X56" s="95">
        <f t="shared" si="14"/>
        <v>4.2128109999950425E-4</v>
      </c>
      <c r="Y56" s="4"/>
    </row>
    <row r="57" spans="1:25" ht="15" x14ac:dyDescent="0.25">
      <c r="A57" s="1">
        <v>2008</v>
      </c>
      <c r="B57" s="15">
        <v>173.65048999999999</v>
      </c>
      <c r="C57" s="15">
        <f>Pääoma!B56</f>
        <v>421.29514641999998</v>
      </c>
      <c r="D57" s="18">
        <f>Työvoimapanos!D56</f>
        <v>4305900.0000059782</v>
      </c>
      <c r="E57" s="132">
        <f t="shared" si="10"/>
        <v>1.0207730438625859E-3</v>
      </c>
      <c r="F57" s="8">
        <f t="shared" si="3"/>
        <v>-6.8871950525968426</v>
      </c>
      <c r="G57" s="15">
        <v>82.727946786630326</v>
      </c>
      <c r="H57" s="56">
        <v>-6.9119543147</v>
      </c>
      <c r="I57" s="4"/>
      <c r="J57" s="3">
        <v>173.65109793363055</v>
      </c>
      <c r="K57" s="15">
        <f>Pääoma!F56</f>
        <v>421.29514641999998</v>
      </c>
      <c r="L57" s="18">
        <f>Työvoimapanos!O56</f>
        <v>4305900.0000059782</v>
      </c>
      <c r="M57" s="132">
        <f t="shared" si="8"/>
        <v>1.0207766174906391E-3</v>
      </c>
      <c r="N57" s="8">
        <f t="shared" si="9"/>
        <v>-6.8871915516993418</v>
      </c>
      <c r="O57" s="15">
        <v>82.727946786630326</v>
      </c>
      <c r="P57" s="56">
        <v>-6.9122370775000004</v>
      </c>
      <c r="Q57" s="4"/>
      <c r="R57" s="12">
        <f t="shared" si="11"/>
        <v>-3.5009036286725965E-6</v>
      </c>
      <c r="S57" s="12">
        <f t="shared" si="12"/>
        <v>0</v>
      </c>
      <c r="T57" s="12">
        <f t="shared" si="4"/>
        <v>0</v>
      </c>
      <c r="U57" s="12">
        <f t="shared" si="5"/>
        <v>-3.5009036285646367E-6</v>
      </c>
      <c r="V57" s="12">
        <f t="shared" si="6"/>
        <v>-3.500897500785527E-6</v>
      </c>
      <c r="W57" s="12">
        <f t="shared" si="13"/>
        <v>0</v>
      </c>
      <c r="X57" s="95">
        <f t="shared" si="14"/>
        <v>2.8276280000039122E-4</v>
      </c>
      <c r="Y57" s="4"/>
    </row>
    <row r="58" spans="1:25" ht="15" x14ac:dyDescent="0.25">
      <c r="A58" s="1">
        <v>2009</v>
      </c>
      <c r="B58" s="15">
        <v>158.82315</v>
      </c>
      <c r="C58" s="15">
        <f>Pääoma!B57</f>
        <v>425.61493752000001</v>
      </c>
      <c r="D58" s="18">
        <f>Työvoimapanos!D57</f>
        <v>4154400.0000103312</v>
      </c>
      <c r="E58" s="132">
        <f t="shared" si="10"/>
        <v>9.5219852078222379E-4</v>
      </c>
      <c r="F58" s="8">
        <f t="shared" si="3"/>
        <v>-6.9567370146788878</v>
      </c>
      <c r="G58" s="15">
        <v>68.302168598028928</v>
      </c>
      <c r="H58" s="56">
        <v>-6.9130262220000001</v>
      </c>
      <c r="I58" s="4"/>
      <c r="J58" s="3">
        <v>158.82337529944482</v>
      </c>
      <c r="K58" s="15">
        <f>Pääoma!F57</f>
        <v>425.61493752000001</v>
      </c>
      <c r="L58" s="18">
        <f>Työvoimapanos!O57</f>
        <v>4154400.0000103312</v>
      </c>
      <c r="M58" s="132">
        <f t="shared" si="8"/>
        <v>9.5219987152862372E-4</v>
      </c>
      <c r="N58" s="8">
        <f t="shared" si="9"/>
        <v>-6.956735596124445</v>
      </c>
      <c r="O58" s="15">
        <v>68.302168598028928</v>
      </c>
      <c r="P58" s="56">
        <v>-6.9129135750000001</v>
      </c>
      <c r="Q58" s="4"/>
      <c r="R58" s="12">
        <f t="shared" si="11"/>
        <v>-1.418555448757332E-6</v>
      </c>
      <c r="S58" s="12">
        <f t="shared" si="12"/>
        <v>0</v>
      </c>
      <c r="T58" s="12">
        <f t="shared" si="4"/>
        <v>0</v>
      </c>
      <c r="U58" s="12">
        <f t="shared" si="5"/>
        <v>-1.418555448732202E-6</v>
      </c>
      <c r="V58" s="12">
        <f t="shared" si="6"/>
        <v>-1.4185544428002572E-6</v>
      </c>
      <c r="W58" s="12">
        <f t="shared" si="13"/>
        <v>0</v>
      </c>
      <c r="X58" s="95">
        <f t="shared" si="14"/>
        <v>-1.1264699999991024E-4</v>
      </c>
      <c r="Y58" s="4"/>
    </row>
    <row r="59" spans="1:25" ht="15" x14ac:dyDescent="0.25">
      <c r="A59" s="1">
        <v>2010</v>
      </c>
      <c r="B59" s="15">
        <v>164.16442000000001</v>
      </c>
      <c r="C59" s="15">
        <f>Pääoma!B58</f>
        <v>430.00252614999999</v>
      </c>
      <c r="D59" s="18">
        <f>Työvoimapanos!D58</f>
        <v>4162599.9999913001</v>
      </c>
      <c r="E59" s="132">
        <f t="shared" si="10"/>
        <v>9.794384343799849E-4</v>
      </c>
      <c r="F59" s="8">
        <f t="shared" si="3"/>
        <v>-6.9285311766847553</v>
      </c>
      <c r="G59" s="15">
        <v>79.764025669535215</v>
      </c>
      <c r="H59" s="56">
        <v>-6.9149669880999998</v>
      </c>
      <c r="I59" s="4"/>
      <c r="J59" s="3">
        <v>164.16455162761332</v>
      </c>
      <c r="K59" s="15">
        <f>Pääoma!F58</f>
        <v>430.00252614999999</v>
      </c>
      <c r="L59" s="18">
        <f>Työvoimapanos!O58</f>
        <v>4162599.9999913001</v>
      </c>
      <c r="M59" s="132">
        <f t="shared" si="8"/>
        <v>9.7943921969719005E-4</v>
      </c>
      <c r="N59" s="8">
        <f t="shared" si="9"/>
        <v>-6.9285303748815359</v>
      </c>
      <c r="O59" s="15">
        <v>79.764025669535215</v>
      </c>
      <c r="P59" s="56">
        <v>-6.9142832623999997</v>
      </c>
      <c r="Q59" s="4"/>
      <c r="R59" s="12">
        <f t="shared" si="11"/>
        <v>-8.0180354131465996E-7</v>
      </c>
      <c r="S59" s="12">
        <f t="shared" si="12"/>
        <v>0</v>
      </c>
      <c r="T59" s="12">
        <f t="shared" si="4"/>
        <v>0</v>
      </c>
      <c r="U59" s="12">
        <f t="shared" si="5"/>
        <v>-8.0180354127376648E-7</v>
      </c>
      <c r="V59" s="12">
        <f t="shared" si="6"/>
        <v>-8.018032193746194E-7</v>
      </c>
      <c r="W59" s="12">
        <f t="shared" si="13"/>
        <v>0</v>
      </c>
      <c r="X59" s="95">
        <f t="shared" si="14"/>
        <v>-6.8372570000008182E-4</v>
      </c>
      <c r="Y59" s="4"/>
    </row>
    <row r="60" spans="1:25" ht="15" x14ac:dyDescent="0.25">
      <c r="A60" s="1">
        <v>2011</v>
      </c>
      <c r="B60" s="15">
        <v>168.80181999999999</v>
      </c>
      <c r="C60" s="15">
        <f>Pääoma!B59</f>
        <v>435.99971879999998</v>
      </c>
      <c r="D60" s="18">
        <f>Työvoimapanos!D59</f>
        <v>4217799.9999982556</v>
      </c>
      <c r="E60" s="132">
        <f t="shared" si="10"/>
        <v>9.9369032875694071E-4</v>
      </c>
      <c r="F60" s="8">
        <f t="shared" si="3"/>
        <v>-6.9140849403324935</v>
      </c>
      <c r="G60" s="15">
        <v>83.965091625808668</v>
      </c>
      <c r="H60" s="56">
        <v>-6.9174563909</v>
      </c>
      <c r="I60" s="4"/>
      <c r="J60" s="3">
        <v>168.80192697827644</v>
      </c>
      <c r="K60" s="15">
        <f>Pääoma!F59</f>
        <v>435.99971879999998</v>
      </c>
      <c r="L60" s="18">
        <f>Työvoimapanos!O59</f>
        <v>4217799.9999982556</v>
      </c>
      <c r="M60" s="132">
        <f t="shared" si="8"/>
        <v>9.9369095850891068E-4</v>
      </c>
      <c r="N60" s="8">
        <f t="shared" si="9"/>
        <v>-6.9140843065819659</v>
      </c>
      <c r="O60" s="15">
        <v>83.965091625808668</v>
      </c>
      <c r="P60" s="56">
        <v>-6.9159387720999996</v>
      </c>
      <c r="Q60" s="4"/>
      <c r="R60" s="12">
        <f t="shared" si="11"/>
        <v>-6.3375072880671033E-7</v>
      </c>
      <c r="S60" s="12">
        <f t="shared" si="12"/>
        <v>0</v>
      </c>
      <c r="T60" s="12">
        <f t="shared" si="4"/>
        <v>0</v>
      </c>
      <c r="U60" s="12">
        <f t="shared" si="5"/>
        <v>-6.3375072872093395E-7</v>
      </c>
      <c r="V60" s="12">
        <f t="shared" si="6"/>
        <v>-6.3375052761216466E-7</v>
      </c>
      <c r="W60" s="12">
        <f t="shared" si="13"/>
        <v>0</v>
      </c>
      <c r="X60" s="95">
        <f t="shared" si="14"/>
        <v>-1.5176188000003421E-3</v>
      </c>
      <c r="Y60" s="4"/>
    </row>
    <row r="61" spans="1:25" ht="15" x14ac:dyDescent="0.25">
      <c r="A61" s="1">
        <v>2012</v>
      </c>
      <c r="B61" s="15">
        <v>167.10019</v>
      </c>
      <c r="C61" s="15">
        <f>Pääoma!B60</f>
        <v>441.60269081000001</v>
      </c>
      <c r="D61" s="18">
        <f>Työvoimapanos!D60</f>
        <v>4225299.999990846</v>
      </c>
      <c r="E61" s="132">
        <f t="shared" si="10"/>
        <v>9.7815670798004632E-4</v>
      </c>
      <c r="F61" s="8">
        <f t="shared" si="3"/>
        <v>-6.9298406676569781</v>
      </c>
      <c r="G61" s="15">
        <v>78.470189933403816</v>
      </c>
      <c r="H61" s="56">
        <v>-6.9199857028</v>
      </c>
      <c r="I61" s="4"/>
      <c r="J61" s="3">
        <v>167.10030097567633</v>
      </c>
      <c r="K61" s="15">
        <f>Pääoma!F60</f>
        <v>441.60142088684125</v>
      </c>
      <c r="L61" s="18">
        <f>Työvoimapanos!O60</f>
        <v>4225299.9999999991</v>
      </c>
      <c r="M61" s="132">
        <f t="shared" si="8"/>
        <v>9.7815834211581682E-4</v>
      </c>
      <c r="N61" s="8">
        <f t="shared" si="9"/>
        <v>-6.9298389970305925</v>
      </c>
      <c r="O61" s="15">
        <v>78.470189933403816</v>
      </c>
      <c r="P61" s="56">
        <v>-6.9173422397</v>
      </c>
      <c r="Q61" s="4"/>
      <c r="R61" s="12">
        <f t="shared" si="11"/>
        <v>-6.641265718223078E-7</v>
      </c>
      <c r="S61" s="12">
        <f t="shared" si="12"/>
        <v>2.8757142680213926E-6</v>
      </c>
      <c r="T61" s="12">
        <f t="shared" si="4"/>
        <v>-2.166245772688508E-12</v>
      </c>
      <c r="U61" s="12">
        <f t="shared" si="5"/>
        <v>-1.6706277809705504E-6</v>
      </c>
      <c r="V61" s="12">
        <f t="shared" si="6"/>
        <v>-1.6706263856747228E-6</v>
      </c>
      <c r="W61" s="12">
        <f t="shared" si="13"/>
        <v>0</v>
      </c>
      <c r="X61" s="95">
        <f t="shared" si="14"/>
        <v>-2.6434631000000763E-3</v>
      </c>
      <c r="Y61" s="4"/>
    </row>
    <row r="62" spans="1:25" ht="15" x14ac:dyDescent="0.25">
      <c r="A62" s="1">
        <v>2013</v>
      </c>
      <c r="B62" s="15">
        <v>164.6724006</v>
      </c>
      <c r="C62" s="15">
        <f>Pääoma!B61</f>
        <v>445.43022224999999</v>
      </c>
      <c r="D62" s="18">
        <f>Työvoimapanos!D61</f>
        <v>4192597.0471295407</v>
      </c>
      <c r="E62" s="132">
        <f t="shared" si="10"/>
        <v>9.6590385169995573E-4</v>
      </c>
      <c r="F62" s="8">
        <f t="shared" si="3"/>
        <v>-6.9424462611071363</v>
      </c>
      <c r="G62" s="15">
        <v>76.605790231346461</v>
      </c>
      <c r="H62" s="56">
        <v>-6.9221629950999999</v>
      </c>
      <c r="I62" s="4"/>
      <c r="J62" s="3">
        <v>164.79416370724778</v>
      </c>
      <c r="K62" s="15">
        <f>Pääoma!F61</f>
        <v>445.34197690386139</v>
      </c>
      <c r="L62" s="18">
        <f>Työvoimapanos!O61</f>
        <v>4146500.0000000005</v>
      </c>
      <c r="M62" s="132">
        <f t="shared" si="8"/>
        <v>9.7365695416426717E-4</v>
      </c>
      <c r="N62" s="8">
        <f t="shared" si="9"/>
        <v>-6.9344515194765926</v>
      </c>
      <c r="O62" s="15">
        <v>76.605790231346461</v>
      </c>
      <c r="P62" s="56">
        <v>-6.9180488831</v>
      </c>
      <c r="Q62" s="4"/>
      <c r="R62" s="12">
        <f t="shared" si="11"/>
        <v>-7.3942632040413059E-4</v>
      </c>
      <c r="S62" s="12">
        <f t="shared" si="12"/>
        <v>1.981126150193374E-4</v>
      </c>
      <c r="T62" s="12">
        <f t="shared" si="4"/>
        <v>1.0994867050507645E-2</v>
      </c>
      <c r="U62" s="12">
        <f t="shared" si="5"/>
        <v>-8.0267849130803877E-3</v>
      </c>
      <c r="V62" s="12">
        <f t="shared" si="6"/>
        <v>-7.9947416305437002E-3</v>
      </c>
      <c r="W62" s="12"/>
      <c r="X62" s="95">
        <f t="shared" si="14"/>
        <v>-4.1141119999998921E-3</v>
      </c>
      <c r="Y62" s="4"/>
    </row>
    <row r="63" spans="1:25" ht="15" x14ac:dyDescent="0.25">
      <c r="A63" s="97">
        <v>2014</v>
      </c>
      <c r="B63" s="73">
        <v>165.07555386000001</v>
      </c>
      <c r="C63" s="73">
        <f>Pääoma!B62</f>
        <v>448.70413789000003</v>
      </c>
      <c r="D63" s="61">
        <f>Työvoimapanos!D62</f>
        <v>4192677.6509665563</v>
      </c>
      <c r="E63" s="133">
        <f t="shared" si="10"/>
        <v>9.6577793572649284E-4</v>
      </c>
      <c r="F63" s="19">
        <f t="shared" si="3"/>
        <v>-6.9425766303785776</v>
      </c>
      <c r="G63" s="73"/>
      <c r="H63" s="80">
        <v>-6.9233724404999997</v>
      </c>
      <c r="I63" s="4"/>
      <c r="J63" s="3">
        <v>165.57201112768507</v>
      </c>
      <c r="K63" s="15">
        <f>Pääoma!F62</f>
        <v>447.87079278124679</v>
      </c>
      <c r="L63" s="18">
        <f>Työvoimapanos!O62</f>
        <v>4158939.5</v>
      </c>
      <c r="M63" s="132">
        <f t="shared" si="8"/>
        <v>9.7441682159710445E-4</v>
      </c>
      <c r="N63" s="8">
        <f t="shared" si="9"/>
        <v>-6.9336713976138284</v>
      </c>
      <c r="P63" s="56">
        <v>-6.9180962294999997</v>
      </c>
      <c r="Q63" s="4"/>
      <c r="R63" s="12">
        <f t="shared" si="11"/>
        <v>-3.0074548052469539E-3</v>
      </c>
      <c r="S63" s="12">
        <f t="shared" si="12"/>
        <v>1.8572262619907689E-3</v>
      </c>
      <c r="T63" s="12">
        <f t="shared" si="4"/>
        <v>8.0469222237436917E-3</v>
      </c>
      <c r="U63" s="12">
        <f t="shared" si="5"/>
        <v>-8.9450023147537895E-3</v>
      </c>
      <c r="V63" s="12">
        <f t="shared" si="6"/>
        <v>-8.9052327647491936E-3</v>
      </c>
      <c r="W63" s="12"/>
      <c r="X63" s="95">
        <f t="shared" si="14"/>
        <v>-5.2762109999999751E-3</v>
      </c>
      <c r="Y63" s="4"/>
    </row>
    <row r="64" spans="1:25" ht="15" x14ac:dyDescent="0.25">
      <c r="A64" s="26">
        <v>2015</v>
      </c>
      <c r="B64" s="33">
        <v>167.15729135999999</v>
      </c>
      <c r="C64" s="33">
        <f>Pääoma!B63</f>
        <v>452.29438881999999</v>
      </c>
      <c r="D64" s="34">
        <f>Työvoimapanos!D63</f>
        <v>4209408.7371297739</v>
      </c>
      <c r="E64" s="134">
        <f t="shared" si="10"/>
        <v>9.727118157759248E-4</v>
      </c>
      <c r="F64" s="21">
        <f>LN(E64)</f>
        <v>-6.9354227007627154</v>
      </c>
      <c r="G64" s="33"/>
      <c r="H64" s="57">
        <v>-6.9233292868999996</v>
      </c>
      <c r="I64" s="4"/>
      <c r="J64" s="31">
        <v>167.80857394972006</v>
      </c>
      <c r="K64" s="73">
        <f>Pääoma!F63</f>
        <v>451.32651704152534</v>
      </c>
      <c r="L64" s="61">
        <f>Työvoimapanos!O63</f>
        <v>4192211.0159999989</v>
      </c>
      <c r="M64" s="132">
        <f t="shared" si="8"/>
        <v>9.7983807479944227E-4</v>
      </c>
      <c r="N64" s="19">
        <f t="shared" si="9"/>
        <v>-6.928123229748091</v>
      </c>
      <c r="O64" s="24"/>
      <c r="P64" s="56">
        <v>-6.9170790442000003</v>
      </c>
      <c r="Q64" s="4"/>
      <c r="R64" s="12">
        <f t="shared" si="11"/>
        <v>-3.8962260301133207E-3</v>
      </c>
      <c r="S64" s="95">
        <f t="shared" si="12"/>
        <v>2.1399155116643385E-3</v>
      </c>
      <c r="T64" s="12"/>
      <c r="U64" s="12"/>
      <c r="V64" s="12"/>
      <c r="W64" s="12"/>
      <c r="X64" s="95">
        <f t="shared" si="14"/>
        <v>-6.2502426999992977E-3</v>
      </c>
      <c r="Y64" s="4"/>
    </row>
    <row r="65" spans="1:25" ht="15" x14ac:dyDescent="0.25">
      <c r="A65" s="1">
        <v>2016</v>
      </c>
      <c r="B65" s="15">
        <v>168.55021375314089</v>
      </c>
      <c r="C65" s="15"/>
      <c r="D65" s="15"/>
      <c r="E65" s="15"/>
      <c r="F65" s="15"/>
      <c r="G65" s="15"/>
      <c r="H65" s="56">
        <v>-6.9219447562000003</v>
      </c>
      <c r="I65" s="4"/>
      <c r="J65" s="128">
        <v>170.75082343495339</v>
      </c>
      <c r="K65" s="33">
        <f>Pääoma!F64</f>
        <v>455.54280490230394</v>
      </c>
      <c r="L65" s="34">
        <f>Työvoimapanos!O64</f>
        <v>4242517.548192</v>
      </c>
      <c r="M65" s="134">
        <f t="shared" si="8"/>
        <v>9.8610286115534017E-4</v>
      </c>
      <c r="N65" s="21">
        <f>LN(M65)</f>
        <v>-6.9217498871442045</v>
      </c>
      <c r="O65" s="53"/>
      <c r="P65" s="57">
        <v>-6.9149045619000002</v>
      </c>
      <c r="Q65" s="4"/>
      <c r="R65" s="95">
        <f>(B65-J65)/B65</f>
        <v>-1.3056107333304919E-2</v>
      </c>
      <c r="S65" s="95"/>
      <c r="T65" s="12"/>
      <c r="U65" s="12"/>
      <c r="V65" s="12"/>
      <c r="W65" s="12"/>
      <c r="X65" s="95">
        <f t="shared" si="14"/>
        <v>-7.0401943000000244E-3</v>
      </c>
      <c r="Y65" s="4"/>
    </row>
    <row r="66" spans="1:25" ht="15" x14ac:dyDescent="0.25">
      <c r="A66" s="97">
        <v>2017</v>
      </c>
      <c r="B66" s="73">
        <v>170.18854697884191</v>
      </c>
      <c r="C66" s="73"/>
      <c r="D66" s="73"/>
      <c r="E66" s="73"/>
      <c r="F66" s="73"/>
      <c r="G66" s="73"/>
      <c r="H66" s="80">
        <v>-6.9193915545999998</v>
      </c>
      <c r="I66" s="98"/>
      <c r="J66" s="31">
        <v>173.24378545710371</v>
      </c>
      <c r="K66" s="15">
        <v>460.67508413212499</v>
      </c>
      <c r="L66" s="61"/>
      <c r="M66" s="24"/>
      <c r="N66" s="24"/>
      <c r="O66" s="24"/>
      <c r="P66" s="56">
        <v>-6.9116459318999999</v>
      </c>
      <c r="Q66" s="98"/>
      <c r="R66" s="95">
        <f>(B66-J66)/B66</f>
        <v>-1.7952080398463188E-2</v>
      </c>
      <c r="S66" s="95"/>
      <c r="T66" s="99"/>
      <c r="U66" s="99"/>
      <c r="V66" s="99"/>
      <c r="W66" s="99"/>
      <c r="X66" s="95">
        <f t="shared" si="14"/>
        <v>-7.7456226999998989E-3</v>
      </c>
      <c r="Y66" s="98"/>
    </row>
    <row r="67" spans="1:25" s="140" customFormat="1" ht="15" x14ac:dyDescent="0.25">
      <c r="A67" s="97">
        <v>2018</v>
      </c>
      <c r="B67" s="73">
        <v>172.10909743257625</v>
      </c>
      <c r="C67" s="24"/>
      <c r="D67" s="24"/>
      <c r="E67" s="24"/>
      <c r="F67" s="24"/>
      <c r="G67" s="24"/>
      <c r="H67" s="80">
        <v>-6.9159111621999996</v>
      </c>
      <c r="I67" s="98"/>
      <c r="J67" s="31">
        <v>175.58257656077461</v>
      </c>
      <c r="K67" s="73">
        <v>466.38734830839417</v>
      </c>
      <c r="L67" s="61"/>
      <c r="M67" s="24"/>
      <c r="N67" s="24"/>
      <c r="O67" s="24"/>
      <c r="P67" s="80">
        <v>-6.9074407541999996</v>
      </c>
      <c r="Q67" s="98"/>
      <c r="R67" s="99">
        <f>(B67-J67)/B67</f>
        <v>-2.0181845004207864E-2</v>
      </c>
      <c r="S67" s="99"/>
      <c r="T67" s="24"/>
      <c r="U67" s="24"/>
      <c r="V67" s="24"/>
      <c r="W67" s="24"/>
      <c r="X67" s="99">
        <f t="shared" si="14"/>
        <v>-8.4704079999999848E-3</v>
      </c>
      <c r="Y67" s="98"/>
    </row>
    <row r="68" spans="1:25" s="140" customFormat="1" ht="15" x14ac:dyDescent="0.25">
      <c r="A68" s="97">
        <v>2019</v>
      </c>
      <c r="B68" s="73"/>
      <c r="C68" s="73"/>
      <c r="D68" s="73"/>
      <c r="E68" s="73"/>
      <c r="F68" s="73"/>
      <c r="G68" s="73"/>
      <c r="H68" s="80">
        <v>-6.9116163675999998</v>
      </c>
      <c r="I68" s="98"/>
      <c r="J68" s="31"/>
      <c r="K68" s="15"/>
      <c r="L68" s="61"/>
      <c r="M68" s="24"/>
      <c r="N68" s="24"/>
      <c r="O68" s="24"/>
      <c r="P68" s="56">
        <v>-6.9024602024000004</v>
      </c>
      <c r="Q68" s="98"/>
      <c r="R68" s="95"/>
      <c r="S68" s="95"/>
      <c r="T68" s="99"/>
      <c r="U68" s="99"/>
      <c r="V68" s="99"/>
      <c r="W68" s="99"/>
      <c r="X68" s="95"/>
      <c r="Y68" s="98"/>
    </row>
    <row r="69" spans="1:25" ht="15.75" thickBot="1" x14ac:dyDescent="0.3">
      <c r="A69" s="100">
        <v>2020</v>
      </c>
      <c r="B69" s="101"/>
      <c r="C69" s="101"/>
      <c r="D69" s="101"/>
      <c r="E69" s="101"/>
      <c r="F69" s="101"/>
      <c r="G69" s="101"/>
      <c r="H69" s="212">
        <v>-6.9065955039000002</v>
      </c>
      <c r="I69" s="28"/>
      <c r="J69" s="101"/>
      <c r="K69" s="101"/>
      <c r="L69" s="101"/>
      <c r="M69" s="101"/>
      <c r="N69" s="101"/>
      <c r="O69" s="101"/>
      <c r="P69" s="212">
        <v>-6.8968127467000002</v>
      </c>
      <c r="Q69" s="28"/>
      <c r="R69" s="101"/>
      <c r="S69" s="101"/>
      <c r="T69" s="101"/>
      <c r="U69" s="101"/>
      <c r="V69" s="101"/>
      <c r="W69" s="101"/>
      <c r="X69" s="101"/>
      <c r="Y69" s="28"/>
    </row>
    <row r="70" spans="1:25" ht="15" thickTop="1" x14ac:dyDescent="0.2">
      <c r="H70" s="64"/>
      <c r="P70" s="3"/>
      <c r="Q70" s="3"/>
    </row>
    <row r="71" spans="1:25" x14ac:dyDescent="0.2">
      <c r="H71" s="64"/>
      <c r="O71" s="3"/>
    </row>
    <row r="72" spans="1:25" x14ac:dyDescent="0.2">
      <c r="A72" t="s">
        <v>69</v>
      </c>
      <c r="O72" s="3"/>
    </row>
    <row r="73" spans="1:25" x14ac:dyDescent="0.2">
      <c r="O73" s="3"/>
      <c r="Q73" s="78"/>
    </row>
    <row r="74" spans="1:25" x14ac:dyDescent="0.2">
      <c r="B74" s="1" t="s">
        <v>89</v>
      </c>
      <c r="O74" s="77"/>
      <c r="P74" s="91"/>
      <c r="Q74" s="72"/>
    </row>
    <row r="75" spans="1:25" x14ac:dyDescent="0.2">
      <c r="O75" s="77"/>
      <c r="P75" s="91"/>
      <c r="Q75" s="72"/>
    </row>
    <row r="76" spans="1:25" x14ac:dyDescent="0.2">
      <c r="B76" s="1" t="s">
        <v>91</v>
      </c>
      <c r="L76" s="84"/>
      <c r="O76" s="77"/>
      <c r="P76" s="91"/>
      <c r="Q76" s="72"/>
    </row>
    <row r="77" spans="1:25" x14ac:dyDescent="0.2">
      <c r="L77" s="203"/>
      <c r="O77" s="77"/>
      <c r="P77" s="91"/>
      <c r="Q77" s="72"/>
    </row>
    <row r="78" spans="1:25" x14ac:dyDescent="0.2">
      <c r="A78" s="91" t="s">
        <v>122</v>
      </c>
      <c r="G78" s="8"/>
      <c r="L78" s="203"/>
      <c r="O78" s="77"/>
      <c r="P78" s="91"/>
      <c r="Q78" s="72"/>
    </row>
    <row r="79" spans="1:25" x14ac:dyDescent="0.2">
      <c r="C79" s="92" t="s">
        <v>136</v>
      </c>
      <c r="H79" s="94"/>
      <c r="I79" s="79"/>
      <c r="L79" s="84"/>
      <c r="O79" s="77"/>
      <c r="P79" s="91"/>
      <c r="Q79" s="72"/>
    </row>
    <row r="80" spans="1:25" x14ac:dyDescent="0.2">
      <c r="C80" s="92" t="s">
        <v>137</v>
      </c>
      <c r="F80" s="64"/>
      <c r="H80" s="94"/>
      <c r="I80" s="79"/>
      <c r="L80" s="84"/>
      <c r="O80" s="77"/>
      <c r="P80" s="91"/>
      <c r="Q80" s="72"/>
    </row>
    <row r="81" spans="2:17" x14ac:dyDescent="0.2">
      <c r="F81" s="64"/>
      <c r="H81" s="94"/>
      <c r="I81" s="79"/>
      <c r="L81" s="91"/>
      <c r="M81" s="15"/>
      <c r="O81" s="77"/>
      <c r="P81" s="91"/>
      <c r="Q81" s="72"/>
    </row>
    <row r="82" spans="2:17" x14ac:dyDescent="0.2">
      <c r="F82" s="64"/>
      <c r="H82" s="94"/>
      <c r="I82" s="79"/>
      <c r="K82" s="94"/>
      <c r="L82" s="91"/>
      <c r="M82" s="15"/>
      <c r="O82" s="77"/>
      <c r="P82" s="91"/>
      <c r="Q82" s="72"/>
    </row>
    <row r="83" spans="2:17" x14ac:dyDescent="0.2">
      <c r="F83" s="64"/>
      <c r="H83" s="94"/>
      <c r="I83" s="79"/>
      <c r="K83" s="94"/>
      <c r="L83" s="91"/>
      <c r="M83" s="15"/>
      <c r="O83" s="77"/>
      <c r="P83" s="91"/>
      <c r="Q83" s="72"/>
    </row>
    <row r="84" spans="2:17" x14ac:dyDescent="0.2">
      <c r="F84" s="64"/>
      <c r="H84" s="94"/>
      <c r="I84" s="79"/>
      <c r="K84" s="94"/>
      <c r="L84" s="91"/>
      <c r="M84" s="15"/>
      <c r="O84" s="77"/>
      <c r="P84" s="91"/>
      <c r="Q84" s="72"/>
    </row>
    <row r="85" spans="2:17" x14ac:dyDescent="0.2">
      <c r="F85" s="64"/>
      <c r="H85" s="94"/>
      <c r="I85" s="79"/>
      <c r="K85" s="94"/>
      <c r="L85" s="91"/>
      <c r="M85" s="15"/>
      <c r="N85" s="83"/>
      <c r="O85" s="77"/>
      <c r="P85" s="91"/>
      <c r="Q85" s="72"/>
    </row>
    <row r="86" spans="2:17" x14ac:dyDescent="0.2">
      <c r="F86" s="64"/>
      <c r="H86" s="94"/>
      <c r="I86" s="79"/>
      <c r="K86" s="94"/>
      <c r="L86" s="91"/>
      <c r="M86" s="15"/>
      <c r="N86" s="83"/>
      <c r="O86" s="77"/>
      <c r="P86" s="91"/>
      <c r="Q86" s="72"/>
    </row>
    <row r="87" spans="2:17" x14ac:dyDescent="0.2">
      <c r="B87" s="94"/>
      <c r="C87" s="94"/>
      <c r="E87" s="15"/>
      <c r="F87" s="94"/>
      <c r="H87" s="94"/>
      <c r="I87" s="79"/>
      <c r="K87" s="94"/>
      <c r="L87" s="91"/>
      <c r="M87" s="15"/>
      <c r="N87" s="83"/>
      <c r="O87" s="77"/>
      <c r="P87" s="91"/>
      <c r="Q87" s="72"/>
    </row>
    <row r="88" spans="2:17" x14ac:dyDescent="0.2">
      <c r="B88" s="94"/>
      <c r="C88" s="94"/>
      <c r="D88" s="94"/>
      <c r="E88" s="15"/>
      <c r="F88" s="94"/>
      <c r="H88" s="94"/>
      <c r="I88" s="79"/>
      <c r="K88" s="94"/>
      <c r="L88" s="91"/>
      <c r="M88" s="15"/>
      <c r="N88" s="83"/>
      <c r="O88" s="77"/>
      <c r="P88" s="91"/>
      <c r="Q88" s="72"/>
    </row>
    <row r="89" spans="2:17" x14ac:dyDescent="0.2">
      <c r="B89" s="94"/>
      <c r="C89" s="94"/>
      <c r="D89" s="94"/>
      <c r="E89" s="15"/>
      <c r="F89" s="94"/>
      <c r="H89" s="94"/>
      <c r="I89" s="79"/>
      <c r="K89" s="94"/>
      <c r="L89" s="91"/>
      <c r="M89" s="15"/>
      <c r="N89" s="83"/>
      <c r="O89" s="77"/>
      <c r="P89" s="91"/>
      <c r="Q89" s="72"/>
    </row>
    <row r="90" spans="2:17" x14ac:dyDescent="0.2">
      <c r="B90" s="94"/>
      <c r="C90" s="94"/>
      <c r="D90" s="94"/>
      <c r="E90" s="15"/>
      <c r="F90" s="94"/>
      <c r="H90" s="94"/>
      <c r="I90" s="79"/>
      <c r="K90" s="94"/>
      <c r="L90" s="91"/>
      <c r="M90" s="15"/>
      <c r="N90" s="83"/>
      <c r="O90" s="77"/>
      <c r="P90" s="91"/>
      <c r="Q90" s="72"/>
    </row>
    <row r="91" spans="2:17" x14ac:dyDescent="0.2">
      <c r="B91" s="94"/>
      <c r="C91" s="94"/>
      <c r="D91" s="94"/>
      <c r="E91" s="15"/>
      <c r="F91" s="94"/>
      <c r="H91" s="94"/>
      <c r="I91" s="79"/>
      <c r="K91" s="94"/>
      <c r="L91" s="91"/>
      <c r="M91" s="15"/>
      <c r="N91" s="83"/>
      <c r="O91" s="77"/>
      <c r="P91" s="91"/>
      <c r="Q91" s="72"/>
    </row>
    <row r="92" spans="2:17" x14ac:dyDescent="0.2">
      <c r="B92" s="94"/>
      <c r="C92" s="94"/>
      <c r="D92" s="94"/>
      <c r="E92" s="15"/>
      <c r="F92" s="94"/>
      <c r="H92" s="94"/>
      <c r="I92" s="79"/>
      <c r="K92" s="94"/>
      <c r="L92" s="91"/>
      <c r="M92" s="15"/>
      <c r="N92" s="83"/>
      <c r="O92" s="77"/>
      <c r="P92" s="91"/>
      <c r="Q92" s="72"/>
    </row>
    <row r="93" spans="2:17" x14ac:dyDescent="0.2">
      <c r="B93" s="94"/>
      <c r="C93" s="94"/>
      <c r="D93" s="94"/>
      <c r="E93" s="15"/>
      <c r="F93" s="94"/>
      <c r="H93" s="94"/>
      <c r="I93" s="79"/>
      <c r="K93" s="94"/>
      <c r="L93" s="91"/>
      <c r="M93" s="15"/>
      <c r="N93" s="83"/>
      <c r="O93" s="77"/>
      <c r="P93" s="91"/>
      <c r="Q93" s="72"/>
    </row>
    <row r="94" spans="2:17" x14ac:dyDescent="0.2">
      <c r="B94" s="94"/>
      <c r="C94" s="94"/>
      <c r="D94" s="94"/>
      <c r="E94" s="15"/>
      <c r="F94" s="14"/>
      <c r="G94" s="8"/>
      <c r="H94" s="94"/>
      <c r="I94" s="79"/>
      <c r="K94" s="94"/>
      <c r="L94" s="91"/>
      <c r="M94" s="15"/>
      <c r="N94" s="83"/>
      <c r="O94" s="77"/>
      <c r="P94" s="91"/>
      <c r="Q94" s="72"/>
    </row>
    <row r="95" spans="2:17" x14ac:dyDescent="0.2">
      <c r="B95" s="94"/>
      <c r="C95" s="94"/>
      <c r="D95" s="94"/>
      <c r="E95" s="15"/>
      <c r="F95" s="14"/>
      <c r="G95" s="8"/>
      <c r="H95" s="94"/>
      <c r="I95" s="79"/>
      <c r="K95" s="94"/>
      <c r="L95" s="91"/>
      <c r="M95" s="15"/>
      <c r="N95" s="83"/>
      <c r="O95" s="77"/>
      <c r="P95" s="91"/>
      <c r="Q95" s="72"/>
    </row>
    <row r="96" spans="2:17" x14ac:dyDescent="0.2">
      <c r="B96" s="94"/>
      <c r="C96" s="94"/>
      <c r="D96" s="94"/>
      <c r="E96" s="15"/>
      <c r="F96" s="14"/>
      <c r="G96" s="8"/>
      <c r="H96" s="94"/>
      <c r="I96" s="79"/>
      <c r="K96" s="94"/>
      <c r="L96" s="91"/>
      <c r="M96" s="15"/>
      <c r="N96" s="83"/>
      <c r="O96" s="77"/>
      <c r="P96" s="91"/>
      <c r="Q96" s="72"/>
    </row>
    <row r="97" spans="2:17" x14ac:dyDescent="0.2">
      <c r="B97" s="94"/>
      <c r="C97" s="94"/>
      <c r="D97" s="94"/>
      <c r="E97" s="15"/>
      <c r="F97" s="14"/>
      <c r="G97" s="8"/>
      <c r="H97" s="94"/>
      <c r="I97" s="79"/>
      <c r="K97" s="94"/>
      <c r="L97" s="91"/>
      <c r="M97" s="15"/>
      <c r="N97" s="83"/>
      <c r="O97" s="77"/>
      <c r="P97" s="91"/>
      <c r="Q97" s="72"/>
    </row>
    <row r="98" spans="2:17" x14ac:dyDescent="0.2">
      <c r="B98" s="94"/>
      <c r="C98" s="94"/>
      <c r="D98" s="94"/>
      <c r="E98" s="15"/>
      <c r="F98" s="14"/>
      <c r="G98" s="8"/>
      <c r="H98" s="94"/>
      <c r="I98" s="79"/>
      <c r="K98" s="94"/>
      <c r="L98" s="91"/>
      <c r="M98" s="15"/>
      <c r="N98" s="83"/>
      <c r="O98" s="77"/>
      <c r="P98" s="91"/>
      <c r="Q98" s="72"/>
    </row>
    <row r="99" spans="2:17" x14ac:dyDescent="0.2">
      <c r="B99" s="94"/>
      <c r="C99" s="94"/>
      <c r="D99" s="94"/>
      <c r="E99" s="15"/>
      <c r="F99" s="14"/>
      <c r="G99" s="8"/>
      <c r="H99" s="94"/>
      <c r="I99" s="79"/>
      <c r="K99" s="94"/>
      <c r="L99" s="91"/>
      <c r="M99" s="15"/>
      <c r="N99" s="83"/>
      <c r="O99" s="77"/>
      <c r="P99" s="91"/>
      <c r="Q99" s="72"/>
    </row>
    <row r="100" spans="2:17" x14ac:dyDescent="0.2">
      <c r="B100" s="94"/>
      <c r="C100" s="94"/>
      <c r="D100" s="94"/>
      <c r="E100" s="15"/>
      <c r="F100" s="14"/>
      <c r="G100" s="8"/>
      <c r="H100" s="94"/>
      <c r="I100" s="79"/>
      <c r="K100" s="94"/>
      <c r="L100" s="91"/>
      <c r="M100" s="15"/>
      <c r="N100" s="83"/>
      <c r="O100" s="77"/>
      <c r="P100" s="91"/>
      <c r="Q100" s="72"/>
    </row>
    <row r="101" spans="2:17" x14ac:dyDescent="0.2">
      <c r="B101" s="94"/>
      <c r="C101" s="94"/>
      <c r="D101" s="94"/>
      <c r="E101" s="15"/>
      <c r="F101" s="14"/>
      <c r="G101" s="8"/>
      <c r="H101" s="94"/>
      <c r="I101" s="79"/>
      <c r="K101" s="94"/>
      <c r="L101" s="91"/>
      <c r="M101" s="15"/>
      <c r="N101" s="83"/>
      <c r="O101" s="77"/>
      <c r="P101" s="91"/>
      <c r="Q101" s="72"/>
    </row>
    <row r="102" spans="2:17" x14ac:dyDescent="0.2">
      <c r="B102" s="94"/>
      <c r="C102" s="94"/>
      <c r="D102" s="94"/>
      <c r="E102" s="15"/>
      <c r="F102" s="14"/>
      <c r="G102" s="8"/>
      <c r="H102" s="94"/>
      <c r="I102" s="79"/>
      <c r="K102" s="94"/>
      <c r="L102" s="91"/>
      <c r="M102" s="15"/>
      <c r="N102" s="83"/>
      <c r="O102" s="77"/>
      <c r="P102" s="91"/>
      <c r="Q102" s="72"/>
    </row>
    <row r="103" spans="2:17" x14ac:dyDescent="0.2">
      <c r="B103" s="94"/>
      <c r="C103" s="94"/>
      <c r="D103" s="94"/>
      <c r="E103" s="15"/>
      <c r="F103" s="14"/>
      <c r="G103" s="8"/>
      <c r="H103" s="94"/>
      <c r="I103" s="79"/>
      <c r="K103" s="94"/>
      <c r="L103" s="91"/>
      <c r="M103" s="15"/>
      <c r="N103" s="83"/>
      <c r="O103" s="77"/>
      <c r="P103" s="91"/>
      <c r="Q103" s="72"/>
    </row>
    <row r="104" spans="2:17" x14ac:dyDescent="0.2">
      <c r="B104" s="94"/>
      <c r="C104" s="94"/>
      <c r="D104" s="94"/>
      <c r="E104" s="15"/>
      <c r="F104" s="14"/>
      <c r="G104" s="8"/>
      <c r="H104" s="94"/>
      <c r="I104" s="79"/>
      <c r="K104" s="94"/>
      <c r="L104" s="91"/>
      <c r="M104" s="15"/>
      <c r="N104" s="83"/>
      <c r="O104" s="77"/>
      <c r="P104" s="91"/>
      <c r="Q104" s="72"/>
    </row>
    <row r="105" spans="2:17" x14ac:dyDescent="0.2">
      <c r="B105" s="94"/>
      <c r="C105" s="94"/>
      <c r="D105" s="94"/>
      <c r="E105" s="15"/>
      <c r="F105" s="14"/>
      <c r="G105" s="8"/>
      <c r="H105" s="94"/>
      <c r="I105" s="79"/>
      <c r="K105" s="94"/>
      <c r="L105" s="91"/>
      <c r="M105" s="15"/>
      <c r="N105" s="83"/>
      <c r="O105" s="77"/>
      <c r="P105" s="91"/>
      <c r="Q105" s="72"/>
    </row>
    <row r="106" spans="2:17" x14ac:dyDescent="0.2">
      <c r="B106" s="94"/>
      <c r="C106" s="94"/>
      <c r="D106" s="94"/>
      <c r="E106" s="15"/>
      <c r="F106" s="14"/>
      <c r="G106" s="8"/>
      <c r="H106" s="94"/>
      <c r="I106" s="79"/>
      <c r="K106" s="94"/>
      <c r="L106" s="91"/>
      <c r="M106" s="15"/>
      <c r="N106" s="83"/>
      <c r="O106" s="77"/>
      <c r="P106" s="91"/>
      <c r="Q106" s="72"/>
    </row>
    <row r="107" spans="2:17" x14ac:dyDescent="0.2">
      <c r="B107" s="94"/>
      <c r="C107" s="94"/>
      <c r="D107" s="94"/>
      <c r="E107" s="15"/>
      <c r="F107" s="14"/>
      <c r="G107" s="8"/>
      <c r="H107" s="94"/>
      <c r="I107" s="79"/>
      <c r="K107" s="94"/>
      <c r="L107" s="91"/>
      <c r="M107" s="15"/>
      <c r="N107" s="83"/>
      <c r="O107" s="77"/>
      <c r="P107" s="91"/>
      <c r="Q107" s="72"/>
    </row>
    <row r="108" spans="2:17" x14ac:dyDescent="0.2">
      <c r="B108" s="94"/>
      <c r="C108" s="94"/>
      <c r="D108" s="94"/>
      <c r="E108" s="15"/>
      <c r="F108" s="14"/>
      <c r="G108" s="8"/>
      <c r="H108" s="94"/>
      <c r="I108" s="79"/>
      <c r="K108" s="94"/>
      <c r="L108" s="91"/>
      <c r="M108" s="15"/>
      <c r="N108" s="83"/>
      <c r="O108" s="77"/>
      <c r="P108" s="91"/>
      <c r="Q108" s="72"/>
    </row>
    <row r="109" spans="2:17" x14ac:dyDescent="0.2">
      <c r="B109" s="94"/>
      <c r="C109" s="94"/>
      <c r="D109" s="94"/>
      <c r="E109" s="15"/>
      <c r="F109" s="14"/>
      <c r="G109" s="8"/>
      <c r="H109" s="94"/>
      <c r="I109" s="79"/>
      <c r="K109" s="94"/>
      <c r="L109" s="91"/>
      <c r="M109" s="15"/>
      <c r="N109" s="83"/>
      <c r="O109" s="77"/>
      <c r="P109" s="91"/>
      <c r="Q109" s="72"/>
    </row>
    <row r="110" spans="2:17" x14ac:dyDescent="0.2">
      <c r="B110" s="94"/>
      <c r="C110" s="94"/>
      <c r="D110" s="94"/>
      <c r="E110" s="15"/>
      <c r="F110" s="14"/>
      <c r="G110" s="8"/>
      <c r="H110" s="94"/>
      <c r="I110" s="79"/>
      <c r="K110" s="94"/>
      <c r="L110" s="91"/>
      <c r="M110" s="15"/>
      <c r="N110" s="83"/>
      <c r="O110" s="77"/>
      <c r="P110" s="91"/>
      <c r="Q110" s="72"/>
    </row>
    <row r="111" spans="2:17" x14ac:dyDescent="0.2">
      <c r="B111" s="94"/>
      <c r="C111" s="94"/>
      <c r="D111" s="94"/>
      <c r="E111" s="15"/>
      <c r="F111" s="14"/>
      <c r="G111" s="8"/>
      <c r="H111" s="94"/>
      <c r="I111" s="79"/>
      <c r="K111" s="94"/>
      <c r="L111" s="91"/>
      <c r="M111" s="15"/>
      <c r="N111" s="83"/>
      <c r="O111" s="3"/>
      <c r="P111" s="91"/>
      <c r="Q111" s="72"/>
    </row>
    <row r="112" spans="2:17" x14ac:dyDescent="0.2">
      <c r="B112" s="94"/>
      <c r="C112" s="94"/>
      <c r="D112" s="94"/>
      <c r="E112" s="15"/>
      <c r="F112" s="14"/>
      <c r="G112" s="8"/>
      <c r="H112" s="94"/>
      <c r="I112" s="79"/>
      <c r="K112" s="94"/>
      <c r="L112" s="91"/>
      <c r="M112" s="15"/>
      <c r="N112" s="83"/>
      <c r="O112" s="3"/>
      <c r="P112" s="91"/>
      <c r="Q112" s="72"/>
    </row>
    <row r="113" spans="2:17" x14ac:dyDescent="0.2">
      <c r="B113" s="94"/>
      <c r="C113" s="94"/>
      <c r="D113" s="94"/>
      <c r="E113" s="15"/>
      <c r="F113" s="14"/>
      <c r="G113" s="8"/>
      <c r="H113" s="94"/>
      <c r="I113" s="79"/>
      <c r="K113" s="94"/>
      <c r="L113" s="91"/>
      <c r="M113" s="15"/>
      <c r="N113" s="83"/>
      <c r="O113" s="3"/>
      <c r="P113" s="91"/>
      <c r="Q113" s="72"/>
    </row>
    <row r="114" spans="2:17" x14ac:dyDescent="0.2">
      <c r="B114" s="94"/>
      <c r="C114" s="94"/>
      <c r="D114" s="94"/>
      <c r="E114" s="15"/>
      <c r="F114" s="14"/>
      <c r="G114" s="8"/>
      <c r="H114" s="94"/>
      <c r="I114" s="79"/>
      <c r="K114" s="94"/>
      <c r="L114" s="91"/>
      <c r="M114" s="15"/>
      <c r="N114" s="83"/>
      <c r="O114" s="3"/>
      <c r="P114" s="91"/>
      <c r="Q114" s="72"/>
    </row>
    <row r="115" spans="2:17" x14ac:dyDescent="0.2">
      <c r="B115" s="94"/>
      <c r="C115" s="94"/>
      <c r="D115" s="94"/>
      <c r="E115" s="15"/>
      <c r="F115" s="14"/>
      <c r="G115" s="8"/>
      <c r="H115" s="94"/>
      <c r="I115" s="79"/>
      <c r="K115" s="94"/>
      <c r="L115" s="91"/>
      <c r="M115" s="15"/>
      <c r="N115" s="83"/>
      <c r="O115" s="3"/>
      <c r="P115" s="91"/>
      <c r="Q115" s="72"/>
    </row>
    <row r="116" spans="2:17" x14ac:dyDescent="0.2">
      <c r="B116" s="94"/>
      <c r="C116" s="94"/>
      <c r="D116" s="94"/>
      <c r="E116" s="15"/>
      <c r="F116" s="14"/>
      <c r="G116" s="8"/>
      <c r="H116" s="94"/>
      <c r="I116" s="79"/>
      <c r="K116" s="94"/>
      <c r="L116" s="91"/>
      <c r="M116" s="15"/>
      <c r="N116" s="83"/>
      <c r="O116" s="3"/>
      <c r="P116" s="91"/>
      <c r="Q116" s="72"/>
    </row>
    <row r="117" spans="2:17" x14ac:dyDescent="0.2">
      <c r="B117" s="94"/>
      <c r="C117" s="94"/>
      <c r="D117" s="94"/>
      <c r="E117" s="15"/>
      <c r="F117" s="14"/>
      <c r="G117" s="8"/>
      <c r="H117" s="94"/>
      <c r="I117" s="79"/>
      <c r="K117" s="94"/>
      <c r="L117" s="91"/>
      <c r="M117" s="15"/>
      <c r="N117" s="83"/>
      <c r="O117" s="3"/>
      <c r="P117" s="91"/>
      <c r="Q117" s="72"/>
    </row>
    <row r="118" spans="2:17" x14ac:dyDescent="0.2">
      <c r="B118" s="94"/>
      <c r="C118" s="94"/>
      <c r="D118" s="94"/>
      <c r="E118" s="15"/>
      <c r="F118" s="14"/>
      <c r="G118" s="8"/>
      <c r="H118" s="94"/>
      <c r="I118" s="79"/>
      <c r="K118" s="94"/>
      <c r="L118" s="91"/>
      <c r="M118" s="15"/>
      <c r="N118" s="83"/>
      <c r="O118" s="3"/>
      <c r="P118" s="91"/>
      <c r="Q118" s="72"/>
    </row>
    <row r="119" spans="2:17" x14ac:dyDescent="0.2">
      <c r="B119" s="94"/>
      <c r="C119" s="94"/>
      <c r="D119" s="94"/>
      <c r="E119" s="15"/>
      <c r="F119" s="14"/>
      <c r="G119" s="8"/>
      <c r="H119" s="94"/>
      <c r="I119" s="79"/>
      <c r="K119" s="94"/>
      <c r="L119" s="91"/>
      <c r="M119" s="15"/>
      <c r="N119" s="83"/>
      <c r="O119" s="3"/>
      <c r="P119" s="91"/>
      <c r="Q119" s="72"/>
    </row>
    <row r="120" spans="2:17" x14ac:dyDescent="0.2">
      <c r="B120" s="94"/>
      <c r="C120" s="94"/>
      <c r="D120" s="94"/>
      <c r="E120" s="15"/>
      <c r="F120" s="14"/>
      <c r="G120" s="8"/>
      <c r="H120" s="94"/>
      <c r="I120" s="79"/>
      <c r="K120" s="94"/>
      <c r="L120" s="91"/>
      <c r="M120" s="15"/>
      <c r="N120" s="83"/>
      <c r="O120" s="3"/>
      <c r="P120" s="91"/>
      <c r="Q120" s="72"/>
    </row>
    <row r="121" spans="2:17" x14ac:dyDescent="0.2">
      <c r="B121" s="94"/>
      <c r="C121" s="94"/>
      <c r="D121" s="94"/>
      <c r="E121" s="15"/>
      <c r="F121" s="14"/>
      <c r="G121" s="8"/>
      <c r="H121" s="94"/>
      <c r="I121" s="79"/>
      <c r="K121" s="94"/>
      <c r="L121" s="91"/>
      <c r="M121" s="15"/>
      <c r="N121" s="83"/>
      <c r="O121" s="3"/>
    </row>
    <row r="122" spans="2:17" x14ac:dyDescent="0.2">
      <c r="B122" s="94"/>
      <c r="C122" s="94"/>
      <c r="D122" s="94"/>
      <c r="E122" s="15"/>
      <c r="F122" s="14"/>
      <c r="G122" s="8"/>
      <c r="H122" s="94"/>
      <c r="I122" s="79"/>
      <c r="K122" s="94"/>
      <c r="L122" s="91"/>
      <c r="M122" s="15"/>
      <c r="N122" s="83"/>
      <c r="O122" s="3"/>
    </row>
    <row r="123" spans="2:17" x14ac:dyDescent="0.2">
      <c r="B123" s="94"/>
      <c r="C123" s="94"/>
      <c r="D123" s="94"/>
      <c r="E123" s="15"/>
      <c r="F123" s="14"/>
      <c r="G123" s="8"/>
      <c r="H123" s="94"/>
      <c r="I123" s="79"/>
      <c r="K123" s="94"/>
      <c r="L123" s="91"/>
      <c r="M123" s="15"/>
      <c r="N123" s="83"/>
      <c r="O123" s="3"/>
    </row>
    <row r="124" spans="2:17" x14ac:dyDescent="0.2">
      <c r="B124" s="94"/>
      <c r="C124" s="94"/>
      <c r="D124" s="94"/>
      <c r="E124" s="15"/>
      <c r="F124" s="14"/>
      <c r="G124" s="8"/>
      <c r="H124" s="94"/>
      <c r="I124" s="79"/>
      <c r="K124" s="94"/>
      <c r="L124" s="91"/>
      <c r="M124" s="15"/>
      <c r="N124" s="83"/>
      <c r="O124" s="3"/>
    </row>
    <row r="125" spans="2:17" x14ac:dyDescent="0.2">
      <c r="B125" s="94"/>
      <c r="C125" s="94"/>
      <c r="D125" s="94"/>
      <c r="E125" s="15"/>
      <c r="F125" s="14"/>
      <c r="G125" s="8"/>
      <c r="H125" s="94"/>
      <c r="I125" s="79"/>
      <c r="K125" s="94"/>
      <c r="L125" s="91"/>
      <c r="M125" s="15"/>
      <c r="N125" s="83"/>
      <c r="O125" s="3"/>
    </row>
    <row r="126" spans="2:17" x14ac:dyDescent="0.2">
      <c r="B126" s="94"/>
      <c r="C126" s="94"/>
      <c r="D126" s="94"/>
      <c r="E126" s="15"/>
      <c r="F126" s="14"/>
      <c r="G126" s="65"/>
      <c r="H126" s="94"/>
      <c r="I126" s="79"/>
      <c r="K126" s="94"/>
      <c r="L126" s="91"/>
      <c r="M126" s="15"/>
    </row>
    <row r="127" spans="2:17" x14ac:dyDescent="0.2">
      <c r="B127" s="94"/>
      <c r="C127" s="94"/>
      <c r="D127" s="94"/>
      <c r="E127" s="15"/>
      <c r="F127" s="14"/>
      <c r="G127" s="65"/>
      <c r="H127" s="94"/>
      <c r="I127" s="79"/>
      <c r="K127" s="94"/>
      <c r="L127" s="91"/>
      <c r="M127" s="15"/>
    </row>
    <row r="128" spans="2:17" x14ac:dyDescent="0.2">
      <c r="B128" s="94"/>
      <c r="C128" s="94"/>
      <c r="D128" s="94"/>
      <c r="E128" s="15"/>
      <c r="F128" s="14"/>
      <c r="G128" s="65"/>
      <c r="H128" s="94"/>
      <c r="I128" s="79"/>
      <c r="K128" s="94"/>
      <c r="L128" s="91"/>
      <c r="M128" s="15"/>
    </row>
    <row r="129" spans="2:13" x14ac:dyDescent="0.2">
      <c r="B129" s="94"/>
      <c r="C129" s="94"/>
      <c r="D129" s="94"/>
      <c r="E129" s="15"/>
      <c r="F129" s="14"/>
      <c r="G129" s="65"/>
      <c r="H129" s="94"/>
      <c r="I129" s="79"/>
      <c r="K129" s="94"/>
      <c r="L129" s="91"/>
      <c r="M129" s="15"/>
    </row>
    <row r="130" spans="2:13" x14ac:dyDescent="0.2">
      <c r="B130" s="94"/>
      <c r="C130" s="94"/>
      <c r="D130" s="94"/>
      <c r="E130" s="15"/>
      <c r="F130" s="14"/>
      <c r="G130" s="65"/>
      <c r="H130" s="94"/>
      <c r="I130" s="79"/>
      <c r="K130" s="94"/>
      <c r="L130" s="91"/>
      <c r="M130" s="15"/>
    </row>
    <row r="131" spans="2:13" x14ac:dyDescent="0.2">
      <c r="B131" s="94"/>
      <c r="C131" s="94"/>
      <c r="D131" s="94"/>
      <c r="E131" s="15"/>
      <c r="F131" s="14"/>
      <c r="G131" s="65"/>
      <c r="H131" s="94"/>
      <c r="I131" s="79"/>
      <c r="K131" s="94"/>
      <c r="L131" s="91"/>
      <c r="M131" s="15"/>
    </row>
    <row r="132" spans="2:13" x14ac:dyDescent="0.2">
      <c r="B132" s="94"/>
      <c r="C132" s="94"/>
      <c r="D132" s="94"/>
      <c r="E132" s="15"/>
      <c r="F132" s="14"/>
      <c r="G132" s="65"/>
      <c r="H132" s="94"/>
      <c r="I132" s="129"/>
      <c r="K132" s="94"/>
      <c r="L132" s="91"/>
      <c r="M132" s="15"/>
    </row>
    <row r="133" spans="2:13" x14ac:dyDescent="0.2">
      <c r="B133" s="94"/>
      <c r="C133" s="94"/>
      <c r="D133" s="94"/>
      <c r="E133" s="15"/>
      <c r="F133" s="94"/>
      <c r="G133" s="65"/>
      <c r="H133" s="94"/>
      <c r="I133" s="79"/>
      <c r="K133" s="94"/>
      <c r="L133" s="91"/>
      <c r="M133" s="15"/>
    </row>
    <row r="134" spans="2:13" x14ac:dyDescent="0.2">
      <c r="B134" s="94"/>
      <c r="C134" s="94"/>
      <c r="D134" s="94"/>
      <c r="E134" s="15"/>
      <c r="F134" s="94"/>
      <c r="G134" s="65"/>
      <c r="H134" s="94"/>
      <c r="I134" s="79"/>
      <c r="K134" s="94"/>
      <c r="L134" s="91"/>
      <c r="M134" s="15"/>
    </row>
    <row r="135" spans="2:13" x14ac:dyDescent="0.2">
      <c r="B135" s="94"/>
      <c r="C135" s="94"/>
      <c r="D135" s="94"/>
      <c r="E135" s="15"/>
      <c r="F135" s="94"/>
      <c r="G135" s="65"/>
      <c r="H135" s="94"/>
      <c r="I135" s="79"/>
      <c r="K135" s="94"/>
      <c r="L135" s="91"/>
      <c r="M135" s="15"/>
    </row>
    <row r="136" spans="2:13" x14ac:dyDescent="0.2">
      <c r="B136" s="94"/>
      <c r="C136" s="94"/>
      <c r="D136" s="94"/>
      <c r="E136" s="15"/>
      <c r="F136" s="94"/>
      <c r="G136" s="65"/>
      <c r="H136" s="64"/>
      <c r="K136" s="94"/>
      <c r="L136" s="91"/>
      <c r="M136" s="15"/>
    </row>
    <row r="137" spans="2:13" x14ac:dyDescent="0.2">
      <c r="B137" s="94"/>
      <c r="C137" s="94"/>
      <c r="D137" s="94"/>
      <c r="E137" s="15"/>
      <c r="F137" s="94"/>
      <c r="G137" s="65"/>
      <c r="H137" s="64"/>
      <c r="K137" s="94"/>
      <c r="L137" s="91"/>
      <c r="M137" s="15"/>
    </row>
    <row r="138" spans="2:13" x14ac:dyDescent="0.2">
      <c r="B138" s="94"/>
      <c r="C138" s="94"/>
      <c r="D138" s="94"/>
      <c r="E138" s="15"/>
      <c r="F138" s="94"/>
      <c r="G138" s="65"/>
      <c r="K138" s="94"/>
      <c r="L138" s="91"/>
      <c r="M138" s="15"/>
    </row>
    <row r="139" spans="2:13" x14ac:dyDescent="0.2">
      <c r="B139" s="94"/>
      <c r="C139" s="94"/>
      <c r="D139" s="94"/>
      <c r="E139" s="15"/>
      <c r="F139" s="94"/>
      <c r="G139" s="65"/>
      <c r="K139" s="94"/>
      <c r="L139" s="91"/>
      <c r="M139" s="15"/>
    </row>
    <row r="140" spans="2:13" x14ac:dyDescent="0.2">
      <c r="B140" s="94"/>
      <c r="C140" s="94"/>
      <c r="D140" s="94"/>
      <c r="E140" s="15"/>
      <c r="F140" s="94"/>
      <c r="G140" s="65"/>
      <c r="L140" s="91"/>
      <c r="M140" s="15"/>
    </row>
    <row r="141" spans="2:13" x14ac:dyDescent="0.2">
      <c r="B141" s="94"/>
      <c r="C141" s="94"/>
      <c r="D141" s="94"/>
      <c r="E141" s="15"/>
      <c r="F141" s="94"/>
      <c r="G141" s="65"/>
    </row>
    <row r="142" spans="2:13" x14ac:dyDescent="0.2">
      <c r="B142" s="94"/>
      <c r="C142" s="94"/>
      <c r="D142" s="94"/>
      <c r="E142" s="15"/>
      <c r="F142" s="94"/>
      <c r="G142" s="65"/>
    </row>
    <row r="143" spans="2:13" x14ac:dyDescent="0.2">
      <c r="C143" s="94"/>
      <c r="D143" s="94"/>
      <c r="E143" s="15"/>
      <c r="F143" s="94"/>
    </row>
    <row r="144" spans="2:13" x14ac:dyDescent="0.2">
      <c r="C144" s="94"/>
      <c r="D144" s="94"/>
      <c r="E144" s="15"/>
      <c r="F144" s="94"/>
    </row>
    <row r="145" spans="3:6" x14ac:dyDescent="0.2">
      <c r="C145" s="94"/>
      <c r="D145" s="94"/>
      <c r="E145" s="15"/>
      <c r="F145" s="94"/>
    </row>
  </sheetData>
  <mergeCells count="3">
    <mergeCell ref="A1:H1"/>
    <mergeCell ref="J1:P1"/>
    <mergeCell ref="R1:Y1"/>
  </mergeCells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Q154"/>
  <sheetViews>
    <sheetView workbookViewId="0">
      <pane xSplit="1" topLeftCell="B1" activePane="topRight" state="frozen"/>
      <selection pane="topRight" sqref="A1:D1"/>
    </sheetView>
  </sheetViews>
  <sheetFormatPr defaultRowHeight="14.25" x14ac:dyDescent="0.2"/>
  <cols>
    <col min="2" max="2" width="14.25" style="3" customWidth="1"/>
    <col min="3" max="3" width="14.25" customWidth="1"/>
    <col min="4" max="4" width="18" customWidth="1"/>
    <col min="6" max="6" width="17.875" customWidth="1"/>
    <col min="7" max="7" width="14.5" customWidth="1"/>
    <col min="8" max="8" width="17.375" customWidth="1"/>
    <col min="10" max="11" width="13.375" customWidth="1"/>
    <col min="12" max="12" width="12" customWidth="1"/>
  </cols>
  <sheetData>
    <row r="1" spans="1:17" s="3" customFormat="1" ht="22.5" x14ac:dyDescent="0.3">
      <c r="A1" s="308" t="s">
        <v>58</v>
      </c>
      <c r="B1" s="308"/>
      <c r="C1" s="308"/>
      <c r="D1" s="308"/>
      <c r="F1" s="308" t="s">
        <v>59</v>
      </c>
      <c r="G1" s="308"/>
      <c r="H1" s="308"/>
      <c r="J1" s="308" t="s">
        <v>64</v>
      </c>
      <c r="K1" s="308"/>
      <c r="L1" s="308"/>
      <c r="M1" s="308"/>
    </row>
    <row r="2" spans="1:17" ht="28.5" x14ac:dyDescent="0.2">
      <c r="A2" s="3" t="s">
        <v>1</v>
      </c>
      <c r="B2" s="50" t="s">
        <v>6</v>
      </c>
      <c r="C2" s="50" t="s">
        <v>50</v>
      </c>
      <c r="D2" s="16" t="s">
        <v>51</v>
      </c>
      <c r="E2" s="4"/>
      <c r="F2" s="50" t="s">
        <v>6</v>
      </c>
      <c r="G2" s="50" t="s">
        <v>50</v>
      </c>
      <c r="H2" s="16" t="s">
        <v>51</v>
      </c>
      <c r="I2" s="4"/>
      <c r="J2" s="3" t="s">
        <v>6</v>
      </c>
      <c r="K2" s="3" t="s">
        <v>50</v>
      </c>
      <c r="L2" s="51" t="s">
        <v>51</v>
      </c>
      <c r="M2" s="4"/>
    </row>
    <row r="3" spans="1:17" x14ac:dyDescent="0.2">
      <c r="A3" s="3" t="s">
        <v>2</v>
      </c>
      <c r="B3" s="50" t="s">
        <v>5</v>
      </c>
      <c r="C3" s="50" t="s">
        <v>5</v>
      </c>
      <c r="D3" s="50"/>
      <c r="E3" s="4"/>
      <c r="F3" s="50" t="s">
        <v>5</v>
      </c>
      <c r="G3" s="50" t="s">
        <v>5</v>
      </c>
      <c r="H3" s="50"/>
      <c r="I3" s="4"/>
      <c r="J3" s="3" t="s">
        <v>5</v>
      </c>
      <c r="K3" s="3" t="s">
        <v>5</v>
      </c>
      <c r="L3" s="3"/>
      <c r="M3" s="4"/>
    </row>
    <row r="4" spans="1:17" x14ac:dyDescent="0.2">
      <c r="A4" s="3" t="s">
        <v>3</v>
      </c>
      <c r="B4" s="50"/>
      <c r="C4" s="50"/>
      <c r="D4" s="50"/>
      <c r="E4" s="4"/>
      <c r="F4" s="50"/>
      <c r="G4" s="50"/>
      <c r="H4" s="50"/>
      <c r="I4" s="4"/>
      <c r="J4" s="3"/>
      <c r="K4" s="3"/>
      <c r="L4" s="3"/>
      <c r="M4" s="4"/>
    </row>
    <row r="5" spans="1:17" x14ac:dyDescent="0.2">
      <c r="A5" s="3" t="s">
        <v>27</v>
      </c>
      <c r="B5" s="50" t="s">
        <v>54</v>
      </c>
      <c r="C5" s="50" t="s">
        <v>55</v>
      </c>
      <c r="D5" s="50" t="s">
        <v>57</v>
      </c>
      <c r="E5" s="4"/>
      <c r="F5" s="50" t="s">
        <v>54</v>
      </c>
      <c r="G5" s="50" t="s">
        <v>55</v>
      </c>
      <c r="H5" s="50" t="s">
        <v>57</v>
      </c>
      <c r="I5" s="4"/>
      <c r="J5" s="3" t="s">
        <v>54</v>
      </c>
      <c r="K5" s="3" t="s">
        <v>55</v>
      </c>
      <c r="L5" s="3" t="s">
        <v>57</v>
      </c>
      <c r="M5" s="4"/>
    </row>
    <row r="6" spans="1:17" x14ac:dyDescent="0.2">
      <c r="A6" s="3"/>
      <c r="E6" s="4"/>
      <c r="F6" s="50"/>
      <c r="G6" s="50"/>
      <c r="H6" s="50"/>
      <c r="I6" s="4"/>
      <c r="M6" s="4"/>
    </row>
    <row r="7" spans="1:17" ht="15" thickBot="1" x14ac:dyDescent="0.25">
      <c r="A7" s="32" t="s">
        <v>0</v>
      </c>
      <c r="B7" s="32"/>
      <c r="C7" s="32"/>
      <c r="D7" s="54"/>
      <c r="E7" s="28"/>
      <c r="F7" s="29"/>
      <c r="G7" s="29"/>
      <c r="H7" s="29"/>
      <c r="I7" s="28"/>
      <c r="J7" s="32"/>
      <c r="K7" s="32"/>
      <c r="L7" s="32"/>
      <c r="M7" s="4"/>
    </row>
    <row r="8" spans="1:17" ht="15.75" thickTop="1" x14ac:dyDescent="0.25">
      <c r="A8" s="1">
        <v>1960</v>
      </c>
      <c r="B8" s="55">
        <v>106.4478392</v>
      </c>
      <c r="C8" s="15"/>
      <c r="D8" s="52"/>
      <c r="E8" s="4"/>
      <c r="F8" s="55">
        <v>106.4478392</v>
      </c>
      <c r="G8" s="15">
        <v>9.7159541100000002</v>
      </c>
      <c r="H8" s="50"/>
      <c r="I8" s="4"/>
      <c r="J8" s="17">
        <f t="shared" ref="J8:J39" si="0">(B8-F8)/B8</f>
        <v>0</v>
      </c>
      <c r="K8" s="12"/>
      <c r="L8" s="12"/>
      <c r="M8" s="4"/>
      <c r="P8" s="2"/>
    </row>
    <row r="9" spans="1:17" ht="15" x14ac:dyDescent="0.25">
      <c r="A9" s="1">
        <v>1961</v>
      </c>
      <c r="B9" s="55">
        <v>112.55750372999999</v>
      </c>
      <c r="C9" s="15"/>
      <c r="D9" s="12"/>
      <c r="E9" s="10"/>
      <c r="F9" s="55">
        <v>112.55750372999999</v>
      </c>
      <c r="G9" s="15">
        <v>10.605010180000001</v>
      </c>
      <c r="H9" s="12">
        <f>(G9-(F9-F8))/F8</f>
        <v>4.2230501659633608E-2</v>
      </c>
      <c r="I9" s="4"/>
      <c r="J9" s="17">
        <f t="shared" si="0"/>
        <v>0</v>
      </c>
      <c r="K9" s="12"/>
      <c r="L9" s="12"/>
      <c r="M9" s="4"/>
      <c r="P9" s="2"/>
      <c r="Q9" s="2"/>
    </row>
    <row r="10" spans="1:17" ht="15" x14ac:dyDescent="0.25">
      <c r="A10" s="1">
        <v>1962</v>
      </c>
      <c r="B10" s="55">
        <v>118.50717883</v>
      </c>
      <c r="C10" s="15"/>
      <c r="D10" s="12"/>
      <c r="E10" s="10"/>
      <c r="F10" s="55">
        <v>118.50717883</v>
      </c>
      <c r="G10" s="15">
        <v>10.661640309999999</v>
      </c>
      <c r="H10" s="12">
        <f t="shared" ref="H10:H65" si="1">(G10-(F10-F9))/F9</f>
        <v>4.1862737301841119E-2</v>
      </c>
      <c r="I10" s="4"/>
      <c r="J10" s="17">
        <f t="shared" si="0"/>
        <v>0</v>
      </c>
      <c r="K10" s="12"/>
      <c r="L10" s="12"/>
      <c r="M10" s="4"/>
      <c r="P10" s="2"/>
      <c r="Q10" s="2"/>
    </row>
    <row r="11" spans="1:17" ht="15" x14ac:dyDescent="0.25">
      <c r="A11" s="1">
        <v>1963</v>
      </c>
      <c r="B11" s="55">
        <v>123.87259650999999</v>
      </c>
      <c r="C11" s="15"/>
      <c r="D11" s="12"/>
      <c r="E11" s="10"/>
      <c r="F11" s="55">
        <v>123.87259650999999</v>
      </c>
      <c r="G11" s="15">
        <v>10.34462261</v>
      </c>
      <c r="H11" s="12">
        <f t="shared" si="1"/>
        <v>4.2016061635748982E-2</v>
      </c>
      <c r="I11" s="4"/>
      <c r="J11" s="17">
        <f t="shared" si="0"/>
        <v>0</v>
      </c>
      <c r="K11" s="12"/>
      <c r="L11" s="12"/>
      <c r="M11" s="4"/>
      <c r="P11" s="2"/>
      <c r="Q11" s="2"/>
    </row>
    <row r="12" spans="1:17" ht="15" x14ac:dyDescent="0.25">
      <c r="A12" s="1">
        <v>1964</v>
      </c>
      <c r="B12" s="55">
        <v>129.62828719999999</v>
      </c>
      <c r="C12" s="15"/>
      <c r="D12" s="12"/>
      <c r="E12" s="10"/>
      <c r="F12" s="55">
        <v>129.62828719999999</v>
      </c>
      <c r="G12" s="15">
        <v>10.97218071</v>
      </c>
      <c r="H12" s="12">
        <f t="shared" si="1"/>
        <v>4.211173550058659E-2</v>
      </c>
      <c r="I12" s="4"/>
      <c r="J12" s="17">
        <f t="shared" si="0"/>
        <v>0</v>
      </c>
      <c r="K12" s="12"/>
      <c r="L12" s="12"/>
      <c r="M12" s="4"/>
      <c r="P12" s="2"/>
      <c r="Q12" s="2"/>
    </row>
    <row r="13" spans="1:17" ht="15" x14ac:dyDescent="0.25">
      <c r="A13" s="1">
        <v>1965</v>
      </c>
      <c r="B13" s="55">
        <v>136.29422738</v>
      </c>
      <c r="C13" s="15">
        <v>12.118477821350098</v>
      </c>
      <c r="D13" s="12">
        <f t="shared" ref="D13:D64" si="2">(C13-(B13-B12))/B12</f>
        <v>4.2062868831534567E-2</v>
      </c>
      <c r="E13" s="10"/>
      <c r="F13" s="55">
        <v>136.29422738</v>
      </c>
      <c r="G13" s="15">
        <v>12.118478229999999</v>
      </c>
      <c r="H13" s="12">
        <f t="shared" si="1"/>
        <v>4.2062871984009313E-2</v>
      </c>
      <c r="I13" s="4"/>
      <c r="J13" s="17">
        <f t="shared" si="0"/>
        <v>0</v>
      </c>
      <c r="K13" s="12">
        <f t="shared" ref="K13:K44" si="3">(C13-G13)/C13</f>
        <v>-3.3721223696371888E-8</v>
      </c>
      <c r="L13" s="12">
        <f t="shared" ref="L13:L44" si="4">(D13-H13)/D13</f>
        <v>-7.4946736494652072E-8</v>
      </c>
      <c r="M13" s="4"/>
      <c r="P13" s="2"/>
      <c r="Q13" s="2"/>
    </row>
    <row r="14" spans="1:17" ht="15" x14ac:dyDescent="0.25">
      <c r="A14" s="1">
        <v>1966</v>
      </c>
      <c r="B14" s="55">
        <v>143.09110523000001</v>
      </c>
      <c r="C14" s="15">
        <v>12.596503257751465</v>
      </c>
      <c r="D14" s="12">
        <f t="shared" si="2"/>
        <v>4.2552245382936109E-2</v>
      </c>
      <c r="E14" s="10"/>
      <c r="F14" s="55">
        <v>143.09110523000001</v>
      </c>
      <c r="G14" s="15">
        <v>12.59650317</v>
      </c>
      <c r="H14" s="12">
        <f t="shared" si="1"/>
        <v>4.2552244739097654E-2</v>
      </c>
      <c r="I14" s="4"/>
      <c r="J14" s="17">
        <f t="shared" si="0"/>
        <v>0</v>
      </c>
      <c r="K14" s="12">
        <f t="shared" si="3"/>
        <v>6.9663352571480485E-9</v>
      </c>
      <c r="L14" s="12">
        <f t="shared" si="4"/>
        <v>1.5130540092030855E-8</v>
      </c>
      <c r="M14" s="4"/>
      <c r="P14" s="2"/>
      <c r="Q14" s="2"/>
    </row>
    <row r="15" spans="1:17" ht="15" x14ac:dyDescent="0.25">
      <c r="A15" s="1">
        <v>1967</v>
      </c>
      <c r="B15" s="55">
        <v>149.42957109</v>
      </c>
      <c r="C15" s="15">
        <v>12.441232681274414</v>
      </c>
      <c r="D15" s="12">
        <f t="shared" si="2"/>
        <v>4.2649519070140939E-2</v>
      </c>
      <c r="E15" s="10"/>
      <c r="F15" s="55">
        <v>149.42957109</v>
      </c>
      <c r="G15" s="15">
        <v>12.44123297</v>
      </c>
      <c r="H15" s="12">
        <f t="shared" si="1"/>
        <v>4.2649521087915455E-2</v>
      </c>
      <c r="I15" s="4"/>
      <c r="J15" s="17">
        <f t="shared" si="0"/>
        <v>0</v>
      </c>
      <c r="K15" s="12">
        <f t="shared" si="3"/>
        <v>-2.3207152623761438E-8</v>
      </c>
      <c r="L15" s="12">
        <f t="shared" si="4"/>
        <v>-4.7310604220353833E-8</v>
      </c>
      <c r="M15" s="4"/>
      <c r="P15" s="2"/>
      <c r="Q15" s="2"/>
    </row>
    <row r="16" spans="1:17" ht="15" x14ac:dyDescent="0.25">
      <c r="A16" s="1">
        <v>1968</v>
      </c>
      <c r="B16" s="55">
        <v>154.81295863</v>
      </c>
      <c r="C16" s="15">
        <v>11.796093940734863</v>
      </c>
      <c r="D16" s="12">
        <f t="shared" si="2"/>
        <v>4.2914574096398567E-2</v>
      </c>
      <c r="E16" s="10"/>
      <c r="F16" s="55">
        <v>154.81295863</v>
      </c>
      <c r="G16" s="15">
        <v>11.796093620000001</v>
      </c>
      <c r="H16" s="12">
        <f t="shared" si="1"/>
        <v>4.2914571950003713E-2</v>
      </c>
      <c r="I16" s="4"/>
      <c r="J16" s="17">
        <f t="shared" si="0"/>
        <v>0</v>
      </c>
      <c r="K16" s="12">
        <f t="shared" si="3"/>
        <v>2.7189921026420174E-8</v>
      </c>
      <c r="L16" s="12">
        <f t="shared" si="4"/>
        <v>5.0015522668312935E-8</v>
      </c>
      <c r="M16" s="4"/>
      <c r="P16" s="2"/>
      <c r="Q16" s="2"/>
    </row>
    <row r="17" spans="1:17" ht="15" x14ac:dyDescent="0.25">
      <c r="A17" s="1">
        <v>1969</v>
      </c>
      <c r="B17" s="55">
        <v>161.40554090000001</v>
      </c>
      <c r="C17" s="15">
        <v>13.291980743408203</v>
      </c>
      <c r="D17" s="12">
        <f t="shared" si="2"/>
        <v>4.327414534735189E-2</v>
      </c>
      <c r="E17" s="10"/>
      <c r="F17" s="55">
        <v>161.40554090000001</v>
      </c>
      <c r="G17" s="15">
        <v>13.29198042</v>
      </c>
      <c r="H17" s="12">
        <f t="shared" si="1"/>
        <v>4.3274143258326486E-2</v>
      </c>
      <c r="I17" s="4"/>
      <c r="J17" s="17">
        <f t="shared" si="0"/>
        <v>0</v>
      </c>
      <c r="K17" s="12">
        <f t="shared" si="3"/>
        <v>2.4331076727533876E-8</v>
      </c>
      <c r="L17" s="12">
        <f t="shared" si="4"/>
        <v>4.8274215175886397E-8</v>
      </c>
      <c r="M17" s="4"/>
      <c r="P17" s="2"/>
      <c r="Q17" s="2"/>
    </row>
    <row r="18" spans="1:17" ht="15" x14ac:dyDescent="0.25">
      <c r="A18" s="1">
        <v>1970</v>
      </c>
      <c r="B18" s="55">
        <v>169.26358887999999</v>
      </c>
      <c r="C18" s="15">
        <v>14.947948455810547</v>
      </c>
      <c r="D18" s="12">
        <f t="shared" si="2"/>
        <v>4.3926004251633261E-2</v>
      </c>
      <c r="E18" s="10"/>
      <c r="F18" s="55">
        <v>169.26358887999999</v>
      </c>
      <c r="G18" s="15">
        <v>14.94794913</v>
      </c>
      <c r="H18" s="12">
        <f t="shared" si="1"/>
        <v>4.3926008428624021E-2</v>
      </c>
      <c r="I18" s="4"/>
      <c r="J18" s="17">
        <f t="shared" si="0"/>
        <v>0</v>
      </c>
      <c r="K18" s="12">
        <f t="shared" si="3"/>
        <v>-4.510247374097104E-8</v>
      </c>
      <c r="L18" s="12">
        <f t="shared" si="4"/>
        <v>-9.5091525655060725E-8</v>
      </c>
      <c r="M18" s="4"/>
      <c r="P18" s="2"/>
      <c r="Q18" s="2"/>
    </row>
    <row r="19" spans="1:17" ht="15" x14ac:dyDescent="0.25">
      <c r="A19" s="1">
        <v>1971</v>
      </c>
      <c r="B19" s="55">
        <v>177.29163647999999</v>
      </c>
      <c r="C19" s="15">
        <v>15.491788864135742</v>
      </c>
      <c r="D19" s="12">
        <f t="shared" si="2"/>
        <v>4.409537404661306E-2</v>
      </c>
      <c r="E19" s="10"/>
      <c r="F19" s="55">
        <v>177.29163647999999</v>
      </c>
      <c r="G19" s="15">
        <v>15.491788400000001</v>
      </c>
      <c r="H19" s="12">
        <f t="shared" si="1"/>
        <v>4.4095371304524553E-2</v>
      </c>
      <c r="I19" s="4"/>
      <c r="J19" s="17">
        <f t="shared" si="0"/>
        <v>0</v>
      </c>
      <c r="K19" s="12">
        <f t="shared" si="3"/>
        <v>2.996011277112216E-8</v>
      </c>
      <c r="L19" s="12">
        <f t="shared" si="4"/>
        <v>6.2185400780295624E-8</v>
      </c>
      <c r="M19" s="4"/>
      <c r="P19" s="2"/>
      <c r="Q19" s="2"/>
    </row>
    <row r="20" spans="1:17" ht="15" x14ac:dyDescent="0.25">
      <c r="A20" s="1">
        <v>1972</v>
      </c>
      <c r="B20" s="55">
        <v>185.93225684000001</v>
      </c>
      <c r="C20" s="15">
        <v>16.50750732421875</v>
      </c>
      <c r="D20" s="12">
        <f t="shared" si="2"/>
        <v>4.4372577976097526E-2</v>
      </c>
      <c r="E20" s="10"/>
      <c r="F20" s="55">
        <v>185.93225684000001</v>
      </c>
      <c r="G20" s="15">
        <v>16.507508049999998</v>
      </c>
      <c r="H20" s="12">
        <f t="shared" si="1"/>
        <v>4.4372582069811491E-2</v>
      </c>
      <c r="I20" s="4"/>
      <c r="J20" s="17">
        <f t="shared" si="0"/>
        <v>0</v>
      </c>
      <c r="K20" s="12">
        <f t="shared" si="3"/>
        <v>-4.3966737931971874E-8</v>
      </c>
      <c r="L20" s="12">
        <f t="shared" si="4"/>
        <v>-9.2257744574627551E-8</v>
      </c>
      <c r="M20" s="4"/>
      <c r="P20" s="2"/>
      <c r="Q20" s="2"/>
    </row>
    <row r="21" spans="1:17" ht="15" x14ac:dyDescent="0.25">
      <c r="A21" s="1">
        <v>1973</v>
      </c>
      <c r="B21" s="55">
        <v>195.45880726999999</v>
      </c>
      <c r="C21" s="15">
        <v>17.91180419921875</v>
      </c>
      <c r="D21" s="12">
        <f t="shared" si="2"/>
        <v>4.5098434837127339E-2</v>
      </c>
      <c r="E21" s="10"/>
      <c r="F21" s="55">
        <v>195.45880726999999</v>
      </c>
      <c r="G21" s="15">
        <v>17.911803689999999</v>
      </c>
      <c r="H21" s="12">
        <f t="shared" si="1"/>
        <v>4.509843209839464E-2</v>
      </c>
      <c r="I21" s="4"/>
      <c r="J21" s="17">
        <f t="shared" si="0"/>
        <v>0</v>
      </c>
      <c r="K21" s="12">
        <f t="shared" si="3"/>
        <v>2.8429227176558786E-8</v>
      </c>
      <c r="L21" s="12">
        <f t="shared" si="4"/>
        <v>6.0727887982146217E-8</v>
      </c>
      <c r="M21" s="4"/>
      <c r="P21" s="2"/>
      <c r="Q21" s="2"/>
    </row>
    <row r="22" spans="1:17" ht="15" x14ac:dyDescent="0.25">
      <c r="A22" s="1">
        <v>1974</v>
      </c>
      <c r="B22" s="55">
        <v>205.21753602999999</v>
      </c>
      <c r="C22" s="15">
        <v>18.481546401977539</v>
      </c>
      <c r="D22" s="12">
        <f t="shared" si="2"/>
        <v>4.4627396246863134E-2</v>
      </c>
      <c r="E22" s="10"/>
      <c r="F22" s="55">
        <v>205.21753602999999</v>
      </c>
      <c r="G22" s="15">
        <v>18.48154534</v>
      </c>
      <c r="H22" s="12">
        <f t="shared" si="1"/>
        <v>4.4627390813608149E-2</v>
      </c>
      <c r="I22" s="4"/>
      <c r="J22" s="17">
        <f t="shared" si="0"/>
        <v>0</v>
      </c>
      <c r="K22" s="12">
        <f t="shared" si="3"/>
        <v>5.7461508669151314E-8</v>
      </c>
      <c r="L22" s="12">
        <f t="shared" si="4"/>
        <v>1.2174707560251356E-7</v>
      </c>
      <c r="M22" s="4"/>
      <c r="P22" s="2"/>
      <c r="Q22" s="2"/>
    </row>
    <row r="23" spans="1:17" ht="15" x14ac:dyDescent="0.25">
      <c r="A23" s="1">
        <v>1975</v>
      </c>
      <c r="B23" s="55">
        <v>215.84246528</v>
      </c>
      <c r="C23" s="15">
        <v>20.141139984130859</v>
      </c>
      <c r="D23" s="12">
        <f t="shared" si="2"/>
        <v>4.6371333162969618E-2</v>
      </c>
      <c r="E23" s="10"/>
      <c r="F23" s="55">
        <v>215.84246528</v>
      </c>
      <c r="G23" s="15">
        <v>20.140545994965269</v>
      </c>
      <c r="H23" s="12">
        <f t="shared" si="1"/>
        <v>4.6368438726280235E-2</v>
      </c>
      <c r="I23" s="4"/>
      <c r="J23" s="17">
        <f t="shared" si="0"/>
        <v>0</v>
      </c>
      <c r="K23" s="12">
        <f t="shared" si="3"/>
        <v>2.9491337931150669E-5</v>
      </c>
      <c r="L23" s="12">
        <f t="shared" si="4"/>
        <v>6.2418664548850449E-5</v>
      </c>
      <c r="M23" s="4"/>
      <c r="P23" s="2"/>
      <c r="Q23" s="2"/>
    </row>
    <row r="24" spans="1:17" ht="15" x14ac:dyDescent="0.25">
      <c r="A24" s="1">
        <v>1976</v>
      </c>
      <c r="B24" s="55">
        <v>224.45356906000001</v>
      </c>
      <c r="C24" s="15">
        <v>18.667449951171875</v>
      </c>
      <c r="D24" s="12">
        <f t="shared" si="2"/>
        <v>4.6591138394042844E-2</v>
      </c>
      <c r="E24" s="10"/>
      <c r="F24" s="55">
        <v>224.45356906000001</v>
      </c>
      <c r="G24" s="15">
        <v>18.666934089508008</v>
      </c>
      <c r="H24" s="12">
        <f t="shared" si="1"/>
        <v>4.6588748402512689E-2</v>
      </c>
      <c r="I24" s="4"/>
      <c r="J24" s="17">
        <f t="shared" si="0"/>
        <v>0</v>
      </c>
      <c r="K24" s="12">
        <f t="shared" si="3"/>
        <v>2.7634286697794408E-5</v>
      </c>
      <c r="L24" s="12">
        <f t="shared" si="4"/>
        <v>5.1297126718428746E-5</v>
      </c>
      <c r="M24" s="4"/>
      <c r="P24" s="2"/>
      <c r="Q24" s="2"/>
    </row>
    <row r="25" spans="1:17" ht="15" x14ac:dyDescent="0.25">
      <c r="A25" s="1">
        <v>1977</v>
      </c>
      <c r="B25" s="55">
        <v>232.02505733999999</v>
      </c>
      <c r="C25" s="15">
        <v>18.031721115112305</v>
      </c>
      <c r="D25" s="12">
        <f t="shared" si="2"/>
        <v>4.6603103167034671E-2</v>
      </c>
      <c r="E25" s="10"/>
      <c r="F25" s="55">
        <v>232.02505733999999</v>
      </c>
      <c r="G25" s="15">
        <v>18.031681058499142</v>
      </c>
      <c r="H25" s="12">
        <f t="shared" si="1"/>
        <v>4.6602924704231295E-2</v>
      </c>
      <c r="I25" s="4"/>
      <c r="J25" s="17">
        <f t="shared" si="0"/>
        <v>0</v>
      </c>
      <c r="K25" s="12">
        <f t="shared" si="3"/>
        <v>2.2214525672121778E-6</v>
      </c>
      <c r="L25" s="12">
        <f t="shared" si="4"/>
        <v>3.8294188851721289E-6</v>
      </c>
      <c r="M25" s="4"/>
      <c r="P25" s="2"/>
      <c r="Q25" s="2"/>
    </row>
    <row r="26" spans="1:17" ht="15" x14ac:dyDescent="0.25">
      <c r="A26" s="1">
        <v>1978</v>
      </c>
      <c r="B26" s="55">
        <v>237.74252521</v>
      </c>
      <c r="C26" s="15">
        <v>16.650539398193359</v>
      </c>
      <c r="D26" s="12">
        <f t="shared" si="2"/>
        <v>4.7120219055360381E-2</v>
      </c>
      <c r="E26" s="10"/>
      <c r="F26" s="55">
        <v>237.74252521</v>
      </c>
      <c r="G26" s="15">
        <v>16.650365542889411</v>
      </c>
      <c r="H26" s="12">
        <f t="shared" si="1"/>
        <v>4.7119469759978487E-2</v>
      </c>
      <c r="I26" s="4"/>
      <c r="J26" s="17">
        <f t="shared" si="0"/>
        <v>0</v>
      </c>
      <c r="K26" s="12">
        <f t="shared" si="3"/>
        <v>1.0441421733617801E-5</v>
      </c>
      <c r="L26" s="12">
        <f t="shared" si="4"/>
        <v>1.5901780528938214E-5</v>
      </c>
      <c r="M26" s="4"/>
      <c r="P26" s="2"/>
      <c r="Q26" s="2"/>
    </row>
    <row r="27" spans="1:17" ht="15" x14ac:dyDescent="0.25">
      <c r="A27" s="1">
        <v>1979</v>
      </c>
      <c r="B27" s="55">
        <v>243.88689994999999</v>
      </c>
      <c r="C27" s="15">
        <v>17.325000762939453</v>
      </c>
      <c r="D27" s="12">
        <f t="shared" si="2"/>
        <v>4.702829673851374E-2</v>
      </c>
      <c r="E27" s="10"/>
      <c r="F27" s="55">
        <v>243.88689994999999</v>
      </c>
      <c r="G27" s="15">
        <v>17.324903703935941</v>
      </c>
      <c r="H27" s="12">
        <f t="shared" si="1"/>
        <v>4.7027888485915999E-2</v>
      </c>
      <c r="I27" s="4"/>
      <c r="J27" s="17">
        <f t="shared" si="0"/>
        <v>0</v>
      </c>
      <c r="K27" s="12">
        <f t="shared" si="3"/>
        <v>5.6022510382376641E-6</v>
      </c>
      <c r="L27" s="12">
        <f t="shared" si="4"/>
        <v>8.6809990166484082E-6</v>
      </c>
      <c r="M27" s="4"/>
      <c r="P27" s="2"/>
      <c r="Q27" s="2"/>
    </row>
    <row r="28" spans="1:17" ht="15" x14ac:dyDescent="0.25">
      <c r="A28" s="1">
        <v>1980</v>
      </c>
      <c r="B28" s="55">
        <v>251.38130237999999</v>
      </c>
      <c r="C28" s="15">
        <v>19.195610046386719</v>
      </c>
      <c r="D28" s="12">
        <f t="shared" si="2"/>
        <v>4.7978007915905334E-2</v>
      </c>
      <c r="E28" s="10"/>
      <c r="F28" s="55">
        <v>251.38130237999999</v>
      </c>
      <c r="G28" s="15">
        <v>19.195788100472356</v>
      </c>
      <c r="H28" s="12">
        <f t="shared" si="1"/>
        <v>4.797873798416924E-2</v>
      </c>
      <c r="I28" s="4"/>
      <c r="J28" s="17">
        <f t="shared" si="0"/>
        <v>0</v>
      </c>
      <c r="K28" s="12">
        <f t="shared" si="3"/>
        <v>-9.2757711376216248E-6</v>
      </c>
      <c r="L28" s="12">
        <f t="shared" si="4"/>
        <v>-1.5216727321931746E-5</v>
      </c>
      <c r="M28" s="4"/>
      <c r="P28" s="2"/>
      <c r="Q28" s="2"/>
    </row>
    <row r="29" spans="1:17" ht="15" x14ac:dyDescent="0.25">
      <c r="A29" s="1">
        <v>1981</v>
      </c>
      <c r="B29" s="55">
        <v>258.88915336999997</v>
      </c>
      <c r="C29" s="15">
        <v>19.68828010559082</v>
      </c>
      <c r="D29" s="12">
        <f t="shared" si="2"/>
        <v>4.8453997971489228E-2</v>
      </c>
      <c r="E29" s="10"/>
      <c r="F29" s="55">
        <v>258.88915336999997</v>
      </c>
      <c r="G29" s="15">
        <v>19.688379741952325</v>
      </c>
      <c r="H29" s="12">
        <f t="shared" si="1"/>
        <v>4.8454394326988073E-2</v>
      </c>
      <c r="I29" s="4"/>
      <c r="J29" s="17">
        <f t="shared" si="0"/>
        <v>0</v>
      </c>
      <c r="K29" s="12">
        <f t="shared" si="3"/>
        <v>-5.0606940255872381E-6</v>
      </c>
      <c r="L29" s="12">
        <f t="shared" si="4"/>
        <v>-8.1800370544983294E-6</v>
      </c>
      <c r="M29" s="4"/>
      <c r="P29" s="2"/>
      <c r="Q29" s="2"/>
    </row>
    <row r="30" spans="1:17" ht="15" x14ac:dyDescent="0.25">
      <c r="A30" s="1">
        <v>1982</v>
      </c>
      <c r="B30" s="55">
        <v>266.97786633999999</v>
      </c>
      <c r="C30" s="15">
        <v>20.754280090332031</v>
      </c>
      <c r="D30" s="12">
        <f t="shared" si="2"/>
        <v>4.892274147241156E-2</v>
      </c>
      <c r="E30" s="10"/>
      <c r="F30" s="55">
        <v>266.97786633999999</v>
      </c>
      <c r="G30" s="15">
        <v>20.754618187791177</v>
      </c>
      <c r="H30" s="12">
        <f t="shared" si="1"/>
        <v>4.8924047426928172E-2</v>
      </c>
      <c r="I30" s="4"/>
      <c r="J30" s="17">
        <f t="shared" si="0"/>
        <v>0</v>
      </c>
      <c r="K30" s="12">
        <f t="shared" si="3"/>
        <v>-1.6290493222326227E-5</v>
      </c>
      <c r="L30" s="12">
        <f t="shared" si="4"/>
        <v>-2.6694221895722919E-5</v>
      </c>
      <c r="M30" s="4"/>
      <c r="P30" s="2"/>
      <c r="Q30" s="2"/>
    </row>
    <row r="31" spans="1:17" ht="15" x14ac:dyDescent="0.25">
      <c r="A31" s="1">
        <v>1983</v>
      </c>
      <c r="B31" s="55">
        <v>275.29407573999998</v>
      </c>
      <c r="C31" s="15">
        <v>21.478219985961914</v>
      </c>
      <c r="D31" s="12">
        <f t="shared" si="2"/>
        <v>4.9300006649989181E-2</v>
      </c>
      <c r="E31" s="10"/>
      <c r="F31" s="55">
        <v>275.29407573999998</v>
      </c>
      <c r="G31" s="15">
        <v>21.478381090089723</v>
      </c>
      <c r="H31" s="12">
        <f t="shared" si="1"/>
        <v>4.9300610086259078E-2</v>
      </c>
      <c r="I31" s="4"/>
      <c r="J31" s="17">
        <f t="shared" si="0"/>
        <v>0</v>
      </c>
      <c r="K31" s="12">
        <f t="shared" si="3"/>
        <v>-7.5008137505898843E-6</v>
      </c>
      <c r="L31" s="12">
        <f t="shared" si="4"/>
        <v>-1.2240084959443689E-5</v>
      </c>
      <c r="M31" s="4"/>
      <c r="P31" s="2"/>
      <c r="Q31" s="2"/>
    </row>
    <row r="32" spans="1:17" ht="15" x14ac:dyDescent="0.25">
      <c r="A32" s="1">
        <v>1984</v>
      </c>
      <c r="B32" s="55">
        <v>282.86048455000002</v>
      </c>
      <c r="C32" s="15">
        <v>21.260931015014648</v>
      </c>
      <c r="D32" s="12">
        <f t="shared" si="2"/>
        <v>4.9745066864236936E-2</v>
      </c>
      <c r="E32" s="10"/>
      <c r="F32" s="55">
        <v>282.86048455000002</v>
      </c>
      <c r="G32" s="15">
        <v>21.260935959043337</v>
      </c>
      <c r="H32" s="12">
        <f t="shared" si="1"/>
        <v>4.9745084823318242E-2</v>
      </c>
      <c r="I32" s="4"/>
      <c r="J32" s="17">
        <f t="shared" si="0"/>
        <v>0</v>
      </c>
      <c r="K32" s="12">
        <f t="shared" si="3"/>
        <v>-2.3254055455886494E-7</v>
      </c>
      <c r="L32" s="12">
        <f t="shared" si="4"/>
        <v>-3.6102235734112448E-7</v>
      </c>
      <c r="M32" s="4"/>
      <c r="P32" s="2"/>
      <c r="Q32" s="2"/>
    </row>
    <row r="33" spans="1:17" ht="15" x14ac:dyDescent="0.25">
      <c r="A33" s="1">
        <v>1985</v>
      </c>
      <c r="B33" s="55">
        <v>290.73084911000001</v>
      </c>
      <c r="C33" s="15">
        <v>22.106420516967773</v>
      </c>
      <c r="D33" s="12">
        <f t="shared" si="2"/>
        <v>5.0328896168073074E-2</v>
      </c>
      <c r="E33" s="10"/>
      <c r="F33" s="55">
        <v>290.73084911000001</v>
      </c>
      <c r="G33" s="15">
        <v>22.106136384067849</v>
      </c>
      <c r="H33" s="12">
        <f t="shared" si="1"/>
        <v>5.0327891669688027E-2</v>
      </c>
      <c r="I33" s="4"/>
      <c r="J33" s="17">
        <f t="shared" si="0"/>
        <v>0</v>
      </c>
      <c r="K33" s="12">
        <f t="shared" si="3"/>
        <v>1.285295824832816E-5</v>
      </c>
      <c r="L33" s="12">
        <f t="shared" si="4"/>
        <v>1.9958681026758191E-5</v>
      </c>
      <c r="M33" s="4"/>
      <c r="P33" s="2"/>
      <c r="Q33" s="2"/>
    </row>
    <row r="34" spans="1:17" ht="15" x14ac:dyDescent="0.25">
      <c r="A34" s="1">
        <v>1986</v>
      </c>
      <c r="B34" s="55">
        <v>298.27373904000001</v>
      </c>
      <c r="C34" s="15">
        <v>22.336620330810547</v>
      </c>
      <c r="D34" s="12">
        <f t="shared" si="2"/>
        <v>5.0884625577567233E-2</v>
      </c>
      <c r="E34" s="10"/>
      <c r="F34" s="55">
        <v>298.27373904000001</v>
      </c>
      <c r="G34" s="15">
        <v>22.336447072486923</v>
      </c>
      <c r="H34" s="12">
        <f t="shared" si="1"/>
        <v>5.0884029636943266E-2</v>
      </c>
      <c r="I34" s="4"/>
      <c r="J34" s="17">
        <f t="shared" si="0"/>
        <v>0</v>
      </c>
      <c r="K34" s="12">
        <f t="shared" si="3"/>
        <v>7.7566937637847541E-6</v>
      </c>
      <c r="L34" s="12">
        <f t="shared" si="4"/>
        <v>1.1711604776539749E-5</v>
      </c>
      <c r="M34" s="4"/>
      <c r="P34" s="2"/>
      <c r="Q34" s="2"/>
    </row>
    <row r="35" spans="1:17" ht="15" x14ac:dyDescent="0.25">
      <c r="A35" s="1">
        <v>1987</v>
      </c>
      <c r="B35" s="55">
        <v>306.40593421</v>
      </c>
      <c r="C35" s="15">
        <v>23.56719970703125</v>
      </c>
      <c r="D35" s="12">
        <f t="shared" si="2"/>
        <v>5.1747782378392185E-2</v>
      </c>
      <c r="E35" s="10"/>
      <c r="F35" s="55">
        <v>306.40593421</v>
      </c>
      <c r="G35" s="15">
        <v>23.566904246462414</v>
      </c>
      <c r="H35" s="12">
        <f t="shared" si="1"/>
        <v>5.174679180989699E-2</v>
      </c>
      <c r="I35" s="4"/>
      <c r="J35" s="17">
        <f t="shared" si="0"/>
        <v>0</v>
      </c>
      <c r="K35" s="12">
        <f t="shared" si="3"/>
        <v>1.2536940005975427E-5</v>
      </c>
      <c r="L35" s="12">
        <f t="shared" si="4"/>
        <v>1.914224049161013E-5</v>
      </c>
      <c r="M35" s="4"/>
      <c r="P35" s="2"/>
      <c r="Q35" s="2"/>
    </row>
    <row r="36" spans="1:17" ht="15" x14ac:dyDescent="0.25">
      <c r="A36" s="1">
        <v>1988</v>
      </c>
      <c r="B36" s="55">
        <v>316.22821464999998</v>
      </c>
      <c r="C36" s="15">
        <v>26.241361618041992</v>
      </c>
      <c r="D36" s="12">
        <f t="shared" si="2"/>
        <v>5.3586041733737891E-2</v>
      </c>
      <c r="E36" s="10"/>
      <c r="F36" s="55">
        <v>316.22821464999998</v>
      </c>
      <c r="G36" s="15">
        <v>26.240584363037449</v>
      </c>
      <c r="H36" s="12">
        <f t="shared" si="1"/>
        <v>5.3583505049823635E-2</v>
      </c>
      <c r="I36" s="4"/>
      <c r="J36" s="17">
        <f t="shared" si="0"/>
        <v>0</v>
      </c>
      <c r="K36" s="12">
        <f t="shared" si="3"/>
        <v>2.9619461667289046E-5</v>
      </c>
      <c r="L36" s="12">
        <f t="shared" si="4"/>
        <v>4.7338520110525096E-5</v>
      </c>
      <c r="M36" s="4"/>
      <c r="P36" s="2"/>
      <c r="Q36" s="2"/>
    </row>
    <row r="37" spans="1:17" ht="15" x14ac:dyDescent="0.25">
      <c r="A37" s="1">
        <v>1989</v>
      </c>
      <c r="B37" s="55">
        <v>328.69607236000002</v>
      </c>
      <c r="C37" s="15">
        <v>29.55232048034668</v>
      </c>
      <c r="D37" s="12">
        <f t="shared" si="2"/>
        <v>5.4025738308188777E-2</v>
      </c>
      <c r="E37" s="10"/>
      <c r="F37" s="55">
        <v>328.69607236000002</v>
      </c>
      <c r="G37" s="15">
        <v>29.551356984125299</v>
      </c>
      <c r="H37" s="12">
        <f t="shared" si="1"/>
        <v>5.4022691469934804E-2</v>
      </c>
      <c r="I37" s="4"/>
      <c r="J37" s="17">
        <f t="shared" si="0"/>
        <v>0</v>
      </c>
      <c r="K37" s="12">
        <f t="shared" si="3"/>
        <v>3.2603064859887405E-5</v>
      </c>
      <c r="L37" s="12">
        <f t="shared" si="4"/>
        <v>5.639605027870519E-5</v>
      </c>
      <c r="M37" s="4"/>
      <c r="P37" s="2"/>
      <c r="Q37" s="2"/>
    </row>
    <row r="38" spans="1:17" ht="15" x14ac:dyDescent="0.25">
      <c r="A38" s="1">
        <v>1990</v>
      </c>
      <c r="B38" s="55">
        <v>339.02144464000003</v>
      </c>
      <c r="C38" s="15">
        <v>28.43682861328125</v>
      </c>
      <c r="D38" s="12">
        <f t="shared" si="2"/>
        <v>5.5100921052214175E-2</v>
      </c>
      <c r="E38" s="10"/>
      <c r="F38" s="55">
        <v>339.02144464000003</v>
      </c>
      <c r="G38" s="15">
        <v>28.435667896779563</v>
      </c>
      <c r="H38" s="12">
        <f t="shared" si="1"/>
        <v>5.5097389776366086E-2</v>
      </c>
      <c r="I38" s="4"/>
      <c r="J38" s="17">
        <f t="shared" si="0"/>
        <v>0</v>
      </c>
      <c r="K38" s="12">
        <f t="shared" si="3"/>
        <v>4.0817368120466665E-5</v>
      </c>
      <c r="L38" s="12">
        <f t="shared" si="4"/>
        <v>6.4087419604877697E-5</v>
      </c>
      <c r="M38" s="4"/>
      <c r="P38" s="2"/>
      <c r="Q38" s="2"/>
    </row>
    <row r="39" spans="1:17" ht="15" x14ac:dyDescent="0.25">
      <c r="A39" s="1">
        <v>1991</v>
      </c>
      <c r="B39" s="55">
        <v>343.7638268</v>
      </c>
      <c r="C39" s="15">
        <v>23.259550094604492</v>
      </c>
      <c r="D39" s="12">
        <f t="shared" si="2"/>
        <v>5.4619459114946312E-2</v>
      </c>
      <c r="E39" s="10"/>
      <c r="F39" s="55">
        <v>343.7638268</v>
      </c>
      <c r="G39" s="15">
        <v>23.258421312702783</v>
      </c>
      <c r="H39" s="12">
        <f t="shared" si="1"/>
        <v>5.4616129585444401E-2</v>
      </c>
      <c r="I39" s="4"/>
      <c r="J39" s="17">
        <f t="shared" si="0"/>
        <v>0</v>
      </c>
      <c r="K39" s="12">
        <f t="shared" si="3"/>
        <v>4.8529825259647561E-5</v>
      </c>
      <c r="L39" s="12">
        <f t="shared" si="4"/>
        <v>6.0958668501347209E-5</v>
      </c>
      <c r="M39" s="4"/>
      <c r="P39" s="2"/>
      <c r="Q39" s="2"/>
    </row>
    <row r="40" spans="1:17" ht="15" x14ac:dyDescent="0.25">
      <c r="A40" s="1">
        <v>1992</v>
      </c>
      <c r="B40" s="55">
        <v>344.53876069</v>
      </c>
      <c r="C40" s="15">
        <v>19.583940505981445</v>
      </c>
      <c r="D40" s="12">
        <f t="shared" si="2"/>
        <v>5.471490933490343E-2</v>
      </c>
      <c r="E40" s="10"/>
      <c r="F40" s="55">
        <v>344.53876069</v>
      </c>
      <c r="G40" s="15">
        <v>19.582733722757382</v>
      </c>
      <c r="H40" s="12">
        <f t="shared" si="1"/>
        <v>5.4711398834001411E-2</v>
      </c>
      <c r="I40" s="4"/>
      <c r="J40" s="17">
        <f t="shared" ref="J40:J68" si="5">(B40-F40)/B40</f>
        <v>0</v>
      </c>
      <c r="K40" s="12">
        <f t="shared" si="3"/>
        <v>6.1621062609673398E-5</v>
      </c>
      <c r="L40" s="12">
        <f t="shared" si="4"/>
        <v>6.415985961947099E-5</v>
      </c>
      <c r="M40" s="4"/>
      <c r="P40" s="2"/>
      <c r="Q40" s="2"/>
    </row>
    <row r="41" spans="1:17" ht="15" x14ac:dyDescent="0.25">
      <c r="A41" s="1">
        <v>1993</v>
      </c>
      <c r="B41" s="55">
        <v>342.40292182000002</v>
      </c>
      <c r="C41" s="15">
        <v>16.907629013061523</v>
      </c>
      <c r="D41" s="12">
        <f t="shared" si="2"/>
        <v>5.5272352651770114E-2</v>
      </c>
      <c r="E41" s="10"/>
      <c r="F41" s="55">
        <v>342.40292182000002</v>
      </c>
      <c r="G41" s="15">
        <v>16.906719303548673</v>
      </c>
      <c r="H41" s="12">
        <f t="shared" si="1"/>
        <v>5.5269712282625498E-2</v>
      </c>
      <c r="I41" s="4"/>
      <c r="J41" s="17">
        <f t="shared" si="5"/>
        <v>0</v>
      </c>
      <c r="K41" s="12">
        <f t="shared" si="3"/>
        <v>5.3804676702305657E-5</v>
      </c>
      <c r="L41" s="12">
        <f t="shared" si="4"/>
        <v>4.7770160268929535E-5</v>
      </c>
      <c r="M41" s="4"/>
      <c r="P41" s="2"/>
      <c r="Q41" s="2"/>
    </row>
    <row r="42" spans="1:17" ht="15" x14ac:dyDescent="0.25">
      <c r="A42" s="1">
        <v>1994</v>
      </c>
      <c r="B42" s="55">
        <v>340.46255349</v>
      </c>
      <c r="C42" s="15">
        <v>16.875360488891602</v>
      </c>
      <c r="D42" s="12">
        <f t="shared" si="2"/>
        <v>5.4952010102247241E-2</v>
      </c>
      <c r="E42" s="10"/>
      <c r="F42" s="55">
        <v>340.46255349</v>
      </c>
      <c r="G42" s="15">
        <v>16.874480110032003</v>
      </c>
      <c r="H42" s="12">
        <f t="shared" si="1"/>
        <v>5.4949438924247598E-2</v>
      </c>
      <c r="I42" s="4"/>
      <c r="J42" s="17">
        <f t="shared" si="5"/>
        <v>0</v>
      </c>
      <c r="K42" s="12">
        <f t="shared" si="3"/>
        <v>5.2169484626883757E-5</v>
      </c>
      <c r="L42" s="12">
        <f t="shared" si="4"/>
        <v>4.6789516795810155E-5</v>
      </c>
      <c r="M42" s="4"/>
      <c r="P42" s="2"/>
      <c r="Q42" s="2"/>
    </row>
    <row r="43" spans="1:17" ht="15" x14ac:dyDescent="0.25">
      <c r="A43" s="1">
        <v>1995</v>
      </c>
      <c r="B43" s="55">
        <v>341.07407848000003</v>
      </c>
      <c r="C43" s="15">
        <v>19.322540283203125</v>
      </c>
      <c r="D43" s="12">
        <f t="shared" si="2"/>
        <v>5.4957630733250905E-2</v>
      </c>
      <c r="E43" s="10"/>
      <c r="F43" s="55">
        <v>341.07407848000003</v>
      </c>
      <c r="G43" s="15">
        <v>19.322023314325595</v>
      </c>
      <c r="H43" s="12">
        <f t="shared" si="1"/>
        <v>5.4956112302303857E-2</v>
      </c>
      <c r="I43" s="4"/>
      <c r="J43" s="17">
        <f t="shared" si="5"/>
        <v>0</v>
      </c>
      <c r="K43" s="12">
        <f t="shared" si="3"/>
        <v>2.6754705641875859E-5</v>
      </c>
      <c r="L43" s="12">
        <f t="shared" si="4"/>
        <v>2.7629119501491736E-5</v>
      </c>
      <c r="M43" s="4"/>
      <c r="P43" s="2"/>
      <c r="Q43" s="2"/>
    </row>
    <row r="44" spans="1:17" ht="15" x14ac:dyDescent="0.25">
      <c r="A44" s="1">
        <v>1996</v>
      </c>
      <c r="B44" s="55">
        <v>342.92963255000001</v>
      </c>
      <c r="C44" s="15">
        <v>21.117860794067383</v>
      </c>
      <c r="D44" s="12">
        <f t="shared" si="2"/>
        <v>5.6475434339396474E-2</v>
      </c>
      <c r="E44" s="10"/>
      <c r="F44" s="55">
        <v>342.92963255000001</v>
      </c>
      <c r="G44" s="15">
        <v>21.117672168834783</v>
      </c>
      <c r="H44" s="12">
        <f t="shared" si="1"/>
        <v>5.6474881306362003E-2</v>
      </c>
      <c r="I44" s="4"/>
      <c r="J44" s="17">
        <f t="shared" si="5"/>
        <v>0</v>
      </c>
      <c r="K44" s="12">
        <f t="shared" si="3"/>
        <v>8.9320236760220924E-6</v>
      </c>
      <c r="L44" s="12">
        <f t="shared" si="4"/>
        <v>9.7924529654402795E-6</v>
      </c>
      <c r="M44" s="4"/>
      <c r="P44" s="2"/>
      <c r="Q44" s="2"/>
    </row>
    <row r="45" spans="1:17" ht="15" x14ac:dyDescent="0.25">
      <c r="A45" s="1">
        <v>1997</v>
      </c>
      <c r="B45" s="55">
        <v>346.66825025000003</v>
      </c>
      <c r="C45" s="15">
        <v>23.335929870605469</v>
      </c>
      <c r="D45" s="12">
        <f t="shared" si="2"/>
        <v>5.7146744726844542E-2</v>
      </c>
      <c r="E45" s="10"/>
      <c r="F45" s="55">
        <v>346.66825025000003</v>
      </c>
      <c r="G45" s="15">
        <v>23.336044943138656</v>
      </c>
      <c r="H45" s="12">
        <f t="shared" si="1"/>
        <v>5.7147080284120043E-2</v>
      </c>
      <c r="I45" s="4"/>
      <c r="J45" s="17">
        <f t="shared" si="5"/>
        <v>0</v>
      </c>
      <c r="K45" s="12">
        <f t="shared" ref="K45:K68" si="6">(C45-G45)/C45</f>
        <v>-4.9311312566332232E-6</v>
      </c>
      <c r="L45" s="12">
        <f t="shared" ref="L45:L68" si="7">(D45-H45)/D45</f>
        <v>-5.8718528431425588E-6</v>
      </c>
      <c r="M45" s="4"/>
      <c r="P45" s="2"/>
      <c r="Q45" s="2"/>
    </row>
    <row r="46" spans="1:17" ht="15" x14ac:dyDescent="0.25">
      <c r="A46" s="1">
        <v>1998</v>
      </c>
      <c r="B46" s="55">
        <v>352.11904884</v>
      </c>
      <c r="C46" s="15">
        <v>25.924030303955078</v>
      </c>
      <c r="D46" s="12">
        <f t="shared" si="2"/>
        <v>5.9057129400199811E-2</v>
      </c>
      <c r="E46" s="10"/>
      <c r="F46" s="55">
        <v>352.11904884</v>
      </c>
      <c r="G46" s="15">
        <v>25.924689749487037</v>
      </c>
      <c r="H46" s="12">
        <f t="shared" si="1"/>
        <v>5.9059031638237135E-2</v>
      </c>
      <c r="I46" s="4"/>
      <c r="J46" s="17">
        <f t="shared" si="5"/>
        <v>0</v>
      </c>
      <c r="K46" s="12">
        <f t="shared" si="6"/>
        <v>-2.5437616150989331E-5</v>
      </c>
      <c r="L46" s="12">
        <f t="shared" si="7"/>
        <v>-3.2210133757662754E-5</v>
      </c>
      <c r="M46" s="4"/>
      <c r="P46" s="2"/>
      <c r="Q46" s="2"/>
    </row>
    <row r="47" spans="1:17" ht="15" x14ac:dyDescent="0.25">
      <c r="A47" s="1">
        <v>1999</v>
      </c>
      <c r="B47" s="55">
        <v>357.75185555000002</v>
      </c>
      <c r="C47" s="15">
        <v>26.769519805908203</v>
      </c>
      <c r="D47" s="12">
        <f t="shared" si="2"/>
        <v>6.0027178778142558E-2</v>
      </c>
      <c r="E47" s="10"/>
      <c r="F47" s="55">
        <v>357.75185555000002</v>
      </c>
      <c r="G47" s="15">
        <v>26.770739989756063</v>
      </c>
      <c r="H47" s="12">
        <f t="shared" si="1"/>
        <v>6.0030644037553774E-2</v>
      </c>
      <c r="I47" s="4"/>
      <c r="J47" s="17">
        <f t="shared" si="5"/>
        <v>0</v>
      </c>
      <c r="K47" s="12">
        <f t="shared" si="6"/>
        <v>-4.5581088368656477E-5</v>
      </c>
      <c r="L47" s="12">
        <f t="shared" si="7"/>
        <v>-5.772817383311087E-5</v>
      </c>
      <c r="M47" s="4"/>
      <c r="P47" s="2"/>
      <c r="Q47" s="2"/>
    </row>
    <row r="48" spans="1:17" ht="15" x14ac:dyDescent="0.25">
      <c r="A48" s="1">
        <v>2000</v>
      </c>
      <c r="B48" s="55">
        <v>364.28234504</v>
      </c>
      <c r="C48" s="15">
        <v>28.485239028930664</v>
      </c>
      <c r="D48" s="12">
        <f t="shared" si="2"/>
        <v>6.1368653155349603E-2</v>
      </c>
      <c r="E48" s="10"/>
      <c r="F48" s="55">
        <v>364.28234504</v>
      </c>
      <c r="G48" s="15">
        <v>28.486022139305941</v>
      </c>
      <c r="H48" s="12">
        <f t="shared" si="1"/>
        <v>6.1370842131767557E-2</v>
      </c>
      <c r="I48" s="4"/>
      <c r="J48" s="17">
        <f t="shared" si="5"/>
        <v>0</v>
      </c>
      <c r="K48" s="12">
        <f t="shared" si="6"/>
        <v>-2.7491795820346198E-5</v>
      </c>
      <c r="L48" s="12">
        <f t="shared" si="7"/>
        <v>-3.5669292145167582E-5</v>
      </c>
      <c r="M48" s="4"/>
      <c r="P48" s="2"/>
      <c r="Q48" s="2"/>
    </row>
    <row r="49" spans="1:17" ht="15" x14ac:dyDescent="0.25">
      <c r="A49" s="1">
        <v>2001</v>
      </c>
      <c r="B49" s="55">
        <v>371.06847819000001</v>
      </c>
      <c r="C49" s="15">
        <v>29.309209823608398</v>
      </c>
      <c r="D49" s="12">
        <f t="shared" si="2"/>
        <v>6.1828625461207133E-2</v>
      </c>
      <c r="E49" s="10"/>
      <c r="F49" s="55">
        <v>371.06847819000001</v>
      </c>
      <c r="G49" s="15">
        <v>29.310020211837504</v>
      </c>
      <c r="H49" s="12">
        <f t="shared" si="1"/>
        <v>6.1830850076921129E-2</v>
      </c>
      <c r="I49" s="4"/>
      <c r="J49" s="17">
        <f t="shared" si="5"/>
        <v>0</v>
      </c>
      <c r="K49" s="12">
        <f t="shared" si="6"/>
        <v>-2.7649610275488306E-5</v>
      </c>
      <c r="L49" s="12">
        <f t="shared" si="7"/>
        <v>-3.5980352100687051E-5</v>
      </c>
      <c r="M49" s="4"/>
      <c r="P49" s="2"/>
      <c r="Q49" s="2"/>
    </row>
    <row r="50" spans="1:17" ht="15" x14ac:dyDescent="0.25">
      <c r="A50" s="1">
        <v>2002</v>
      </c>
      <c r="B50" s="55">
        <v>376.18407559000002</v>
      </c>
      <c r="C50" s="15">
        <v>28.215240478515625</v>
      </c>
      <c r="D50" s="12">
        <f t="shared" si="2"/>
        <v>6.2251698638459363E-2</v>
      </c>
      <c r="E50" s="10"/>
      <c r="F50" s="55">
        <v>376.18407559000002</v>
      </c>
      <c r="G50" s="15">
        <v>28.215651805689646</v>
      </c>
      <c r="H50" s="12">
        <f t="shared" si="1"/>
        <v>6.2252807132438769E-2</v>
      </c>
      <c r="I50" s="4"/>
      <c r="J50" s="17">
        <f t="shared" si="5"/>
        <v>0</v>
      </c>
      <c r="K50" s="12">
        <f t="shared" si="6"/>
        <v>-1.4578191326567958E-5</v>
      </c>
      <c r="L50" s="12">
        <f t="shared" si="7"/>
        <v>-1.7806646302833953E-5</v>
      </c>
      <c r="M50" s="4"/>
      <c r="P50" s="2"/>
      <c r="Q50" s="2"/>
    </row>
    <row r="51" spans="1:17" ht="15" x14ac:dyDescent="0.25">
      <c r="A51" s="1">
        <v>2003</v>
      </c>
      <c r="B51" s="55">
        <v>381.73603859000002</v>
      </c>
      <c r="C51" s="15">
        <v>29.053199768066406</v>
      </c>
      <c r="D51" s="12">
        <f t="shared" si="2"/>
        <v>6.2472704968192787E-2</v>
      </c>
      <c r="E51" s="10"/>
      <c r="F51" s="55">
        <v>381.73603859000002</v>
      </c>
      <c r="G51" s="15">
        <v>29.053354493683418</v>
      </c>
      <c r="H51" s="12">
        <f t="shared" si="1"/>
        <v>6.2473116271134756E-2</v>
      </c>
      <c r="I51" s="4"/>
      <c r="J51" s="17">
        <f t="shared" si="5"/>
        <v>0</v>
      </c>
      <c r="K51" s="12">
        <f t="shared" si="6"/>
        <v>-5.3255964316221268E-6</v>
      </c>
      <c r="L51" s="12">
        <f t="shared" si="7"/>
        <v>-6.5837223180636071E-6</v>
      </c>
      <c r="M51" s="4"/>
      <c r="P51" s="2"/>
      <c r="Q51" s="2"/>
    </row>
    <row r="52" spans="1:17" ht="15" x14ac:dyDescent="0.25">
      <c r="A52" s="1">
        <v>2004</v>
      </c>
      <c r="B52" s="55">
        <v>388.06139492</v>
      </c>
      <c r="C52" s="15">
        <v>30.466650009155273</v>
      </c>
      <c r="D52" s="12">
        <f t="shared" si="2"/>
        <v>6.3240803169448787E-2</v>
      </c>
      <c r="E52" s="10"/>
      <c r="F52" s="55">
        <v>388.06139492</v>
      </c>
      <c r="G52" s="15">
        <v>30.466919959964819</v>
      </c>
      <c r="H52" s="12">
        <f t="shared" si="1"/>
        <v>6.3241510335611414E-2</v>
      </c>
      <c r="I52" s="4"/>
      <c r="J52" s="17">
        <f t="shared" si="5"/>
        <v>0</v>
      </c>
      <c r="K52" s="12">
        <f t="shared" si="6"/>
        <v>-8.8605346982664473E-6</v>
      </c>
      <c r="L52" s="12">
        <f t="shared" si="7"/>
        <v>-1.1182118619415633E-5</v>
      </c>
      <c r="M52" s="4"/>
      <c r="P52" s="2"/>
      <c r="Q52" s="2"/>
    </row>
    <row r="53" spans="1:17" ht="15" x14ac:dyDescent="0.25">
      <c r="A53" s="1">
        <v>2005</v>
      </c>
      <c r="B53" s="55">
        <v>395.04939492</v>
      </c>
      <c r="C53" s="15">
        <v>31.565999984741211</v>
      </c>
      <c r="D53" s="12">
        <f t="shared" si="2"/>
        <v>6.3335338960496285E-2</v>
      </c>
      <c r="E53" s="10"/>
      <c r="F53" s="55">
        <v>395.04939492</v>
      </c>
      <c r="G53" s="15">
        <v>31.565999999999999</v>
      </c>
      <c r="H53" s="12">
        <f t="shared" si="1"/>
        <v>6.3335338999816831E-2</v>
      </c>
      <c r="I53" s="4"/>
      <c r="J53" s="17">
        <f t="shared" si="5"/>
        <v>0</v>
      </c>
      <c r="K53" s="12">
        <f t="shared" si="6"/>
        <v>-4.8339314510146184E-10</v>
      </c>
      <c r="L53" s="12">
        <f t="shared" si="7"/>
        <v>-6.2083107888740244E-10</v>
      </c>
      <c r="M53" s="4"/>
      <c r="P53" s="2"/>
      <c r="Q53" s="2"/>
    </row>
    <row r="54" spans="1:17" ht="15" x14ac:dyDescent="0.25">
      <c r="A54" s="1">
        <v>2006</v>
      </c>
      <c r="B54" s="55">
        <v>402.30679075</v>
      </c>
      <c r="C54" s="15">
        <v>32.170539855957031</v>
      </c>
      <c r="D54" s="12">
        <f t="shared" si="2"/>
        <v>6.3063364597741242E-2</v>
      </c>
      <c r="E54" s="10"/>
      <c r="F54" s="55">
        <v>402.30679075</v>
      </c>
      <c r="G54" s="15">
        <v>32.170003495751629</v>
      </c>
      <c r="H54" s="12">
        <f t="shared" si="1"/>
        <v>6.3062006893585001E-2</v>
      </c>
      <c r="I54" s="4"/>
      <c r="J54" s="17">
        <f t="shared" si="5"/>
        <v>0</v>
      </c>
      <c r="K54" s="12">
        <f t="shared" si="6"/>
        <v>1.667240300608453E-5</v>
      </c>
      <c r="L54" s="12">
        <f t="shared" si="7"/>
        <v>2.1529205821811343E-5</v>
      </c>
      <c r="M54" s="4"/>
      <c r="P54" s="2"/>
      <c r="Q54" s="2"/>
    </row>
    <row r="55" spans="1:17" ht="15" x14ac:dyDescent="0.25">
      <c r="A55" s="1">
        <v>2007</v>
      </c>
      <c r="B55" s="55">
        <v>412.24841798</v>
      </c>
      <c r="C55" s="15">
        <v>35.604122161865234</v>
      </c>
      <c r="D55" s="12">
        <f t="shared" si="2"/>
        <v>6.3788371267668537E-2</v>
      </c>
      <c r="E55" s="10"/>
      <c r="F55" s="55">
        <v>412.24841798</v>
      </c>
      <c r="G55" s="15">
        <v>35.604031598759413</v>
      </c>
      <c r="H55" s="12">
        <f t="shared" si="1"/>
        <v>6.378814615810563E-2</v>
      </c>
      <c r="I55" s="4"/>
      <c r="J55" s="17">
        <f t="shared" si="5"/>
        <v>0</v>
      </c>
      <c r="K55" s="12">
        <f t="shared" si="6"/>
        <v>2.5436129392532189E-6</v>
      </c>
      <c r="L55" s="12">
        <f t="shared" si="7"/>
        <v>3.5290062817607451E-6</v>
      </c>
      <c r="M55" s="4"/>
      <c r="P55" s="2"/>
      <c r="Q55" s="2"/>
    </row>
    <row r="56" spans="1:17" ht="15" x14ac:dyDescent="0.25">
      <c r="A56" s="1">
        <v>2008</v>
      </c>
      <c r="B56" s="55">
        <v>421.29514641999998</v>
      </c>
      <c r="C56" s="15">
        <v>35.376079559326172</v>
      </c>
      <c r="D56" s="12">
        <f t="shared" si="2"/>
        <v>6.3867682618016855E-2</v>
      </c>
      <c r="E56" s="10"/>
      <c r="F56" s="55">
        <v>421.29514641999998</v>
      </c>
      <c r="G56" s="15">
        <v>35.375571140999291</v>
      </c>
      <c r="H56" s="12">
        <f t="shared" si="1"/>
        <v>6.3866449336566378E-2</v>
      </c>
      <c r="I56" s="4"/>
      <c r="J56" s="17">
        <f t="shared" si="5"/>
        <v>0</v>
      </c>
      <c r="K56" s="12">
        <f t="shared" si="6"/>
        <v>1.4371810930264887E-5</v>
      </c>
      <c r="L56" s="12">
        <f t="shared" si="7"/>
        <v>1.930994518547621E-5</v>
      </c>
      <c r="M56" s="4"/>
      <c r="P56" s="2"/>
      <c r="Q56" s="2"/>
    </row>
    <row r="57" spans="1:17" ht="15" x14ac:dyDescent="0.25">
      <c r="A57" s="1">
        <v>2009</v>
      </c>
      <c r="B57" s="55">
        <v>425.61493752000001</v>
      </c>
      <c r="C57" s="15">
        <v>30.692539215087891</v>
      </c>
      <c r="D57" s="12">
        <f t="shared" si="2"/>
        <v>6.2599221327834118E-2</v>
      </c>
      <c r="E57" s="10"/>
      <c r="F57" s="55">
        <v>425.61493752000001</v>
      </c>
      <c r="G57" s="15">
        <v>30.692605071736512</v>
      </c>
      <c r="H57" s="12">
        <f t="shared" si="1"/>
        <v>6.2599377647338819E-2</v>
      </c>
      <c r="I57" s="4"/>
      <c r="J57" s="17">
        <f t="shared" si="5"/>
        <v>0</v>
      </c>
      <c r="K57" s="12">
        <f t="shared" si="6"/>
        <v>-2.1456891578785447E-6</v>
      </c>
      <c r="L57" s="12">
        <f t="shared" si="7"/>
        <v>-2.4971477501769464E-6</v>
      </c>
      <c r="M57" s="4"/>
      <c r="P57" s="2"/>
      <c r="Q57" s="2"/>
    </row>
    <row r="58" spans="1:17" ht="15" x14ac:dyDescent="0.25">
      <c r="A58" s="1">
        <v>2010</v>
      </c>
      <c r="B58" s="55">
        <v>430.00252614999999</v>
      </c>
      <c r="C58" s="15">
        <v>31.199190139770508</v>
      </c>
      <c r="D58" s="12">
        <f t="shared" si="2"/>
        <v>6.2994973028902737E-2</v>
      </c>
      <c r="E58" s="10"/>
      <c r="F58" s="55">
        <v>430.00252614999999</v>
      </c>
      <c r="G58" s="15">
        <v>31.198955114453657</v>
      </c>
      <c r="H58" s="12">
        <f t="shared" si="1"/>
        <v>6.2994420827144459E-2</v>
      </c>
      <c r="I58" s="4"/>
      <c r="J58" s="17">
        <f t="shared" si="5"/>
        <v>0</v>
      </c>
      <c r="K58" s="12">
        <f t="shared" si="6"/>
        <v>7.5330582556125266E-6</v>
      </c>
      <c r="L58" s="12">
        <f t="shared" si="7"/>
        <v>8.7658067259475052E-6</v>
      </c>
      <c r="M58" s="4"/>
      <c r="P58" s="2"/>
      <c r="Q58" s="2"/>
    </row>
    <row r="59" spans="1:17" ht="15" x14ac:dyDescent="0.25">
      <c r="A59" s="1">
        <v>2011</v>
      </c>
      <c r="B59" s="55">
        <v>435.99971879999998</v>
      </c>
      <c r="C59" s="15">
        <v>33.010650634765625</v>
      </c>
      <c r="D59" s="12">
        <f t="shared" si="2"/>
        <v>6.2821626250963908E-2</v>
      </c>
      <c r="E59" s="10"/>
      <c r="F59" s="55">
        <v>435.99971879999998</v>
      </c>
      <c r="G59" s="15">
        <v>33.009383051481734</v>
      </c>
      <c r="H59" s="12">
        <f t="shared" si="1"/>
        <v>6.2818678400179781E-2</v>
      </c>
      <c r="I59" s="4"/>
      <c r="J59" s="17">
        <f t="shared" si="5"/>
        <v>0</v>
      </c>
      <c r="K59" s="12">
        <f t="shared" si="6"/>
        <v>3.8399221448725367E-5</v>
      </c>
      <c r="L59" s="12">
        <f t="shared" si="7"/>
        <v>4.6924139982473285E-5</v>
      </c>
      <c r="M59" s="4"/>
      <c r="P59" s="2"/>
      <c r="Q59" s="2"/>
    </row>
    <row r="60" spans="1:17" ht="15" x14ac:dyDescent="0.25">
      <c r="A60" s="1">
        <v>2012</v>
      </c>
      <c r="B60" s="55">
        <v>441.60269081000001</v>
      </c>
      <c r="C60" s="15">
        <v>32.742801666259766</v>
      </c>
      <c r="D60" s="12">
        <f t="shared" si="2"/>
        <v>6.2247355872055522E-2</v>
      </c>
      <c r="E60" s="10"/>
      <c r="F60" s="55">
        <v>441.60142088684125</v>
      </c>
      <c r="G60" s="15">
        <v>32.741530076841215</v>
      </c>
      <c r="H60" s="12">
        <f t="shared" si="1"/>
        <v>6.2247352050356287E-2</v>
      </c>
      <c r="I60" s="4"/>
      <c r="J60" s="17">
        <f t="shared" si="5"/>
        <v>2.8757142680213926E-6</v>
      </c>
      <c r="K60" s="12">
        <f t="shared" si="6"/>
        <v>3.883569376596015E-5</v>
      </c>
      <c r="L60" s="12">
        <f t="shared" si="7"/>
        <v>6.1395366619376543E-8</v>
      </c>
      <c r="M60" s="4"/>
      <c r="P60" s="2"/>
      <c r="Q60" s="2"/>
    </row>
    <row r="61" spans="1:17" ht="15" x14ac:dyDescent="0.25">
      <c r="A61" s="1">
        <v>2013</v>
      </c>
      <c r="B61" s="55">
        <v>445.43022224999999</v>
      </c>
      <c r="C61" s="15">
        <v>31.316129684448242</v>
      </c>
      <c r="D61" s="12">
        <f t="shared" si="2"/>
        <v>6.2247352238791645E-2</v>
      </c>
      <c r="E61" s="10"/>
      <c r="F61" s="55">
        <v>445.34197690386139</v>
      </c>
      <c r="G61" s="15">
        <v>31.229075127666238</v>
      </c>
      <c r="H61" s="12">
        <f t="shared" si="1"/>
        <v>6.2247352047560399E-2</v>
      </c>
      <c r="I61" s="4"/>
      <c r="J61" s="17">
        <f t="shared" si="5"/>
        <v>1.981126150193374E-4</v>
      </c>
      <c r="K61" s="12">
        <f t="shared" si="6"/>
        <v>2.7798632097642498E-3</v>
      </c>
      <c r="L61" s="12">
        <f t="shared" si="7"/>
        <v>3.0721185598784931E-9</v>
      </c>
      <c r="M61" s="4"/>
      <c r="P61" s="2"/>
      <c r="Q61" s="2"/>
    </row>
    <row r="62" spans="1:17" ht="15" x14ac:dyDescent="0.25">
      <c r="A62" s="1">
        <v>2014</v>
      </c>
      <c r="B62" s="125">
        <v>448.70413789000003</v>
      </c>
      <c r="C62" s="73">
        <v>31.000766754150391</v>
      </c>
      <c r="D62" s="12">
        <f t="shared" si="2"/>
        <v>6.2247350379805423E-2</v>
      </c>
      <c r="E62" s="10"/>
      <c r="F62" s="55">
        <v>447.87079278124679</v>
      </c>
      <c r="G62" s="15">
        <v>30.250174698257116</v>
      </c>
      <c r="H62" s="12">
        <f t="shared" si="1"/>
        <v>6.2247352054253108E-2</v>
      </c>
      <c r="I62" s="4"/>
      <c r="J62" s="17">
        <f t="shared" si="5"/>
        <v>1.8572262619907689E-3</v>
      </c>
      <c r="K62" s="12">
        <f t="shared" si="6"/>
        <v>2.4212048103383947E-2</v>
      </c>
      <c r="L62" s="12">
        <f t="shared" si="7"/>
        <v>-2.6899902959040747E-8</v>
      </c>
      <c r="M62" s="4"/>
      <c r="P62" s="2"/>
      <c r="Q62" s="2"/>
    </row>
    <row r="63" spans="1:17" ht="15" x14ac:dyDescent="0.25">
      <c r="A63" s="26">
        <v>2015</v>
      </c>
      <c r="B63" s="127">
        <v>452.29438881999999</v>
      </c>
      <c r="C63" s="33">
        <v>31.520895004272461</v>
      </c>
      <c r="D63" s="58">
        <f t="shared" si="2"/>
        <v>6.2247351240428496E-2</v>
      </c>
      <c r="E63" s="10"/>
      <c r="F63" s="55">
        <v>451.32651704152534</v>
      </c>
      <c r="G63" s="73">
        <v>31.334495173910302</v>
      </c>
      <c r="H63" s="12">
        <f t="shared" si="1"/>
        <v>6.2247352055503573E-2</v>
      </c>
      <c r="I63" s="4"/>
      <c r="J63" s="17">
        <f t="shared" si="5"/>
        <v>2.1399155116643385E-3</v>
      </c>
      <c r="K63" s="12">
        <f t="shared" si="6"/>
        <v>5.9135322882454293E-3</v>
      </c>
      <c r="L63" s="12">
        <f t="shared" si="7"/>
        <v>-1.3094132692141404E-8</v>
      </c>
      <c r="M63" s="4"/>
      <c r="P63" s="2"/>
      <c r="Q63" s="2"/>
    </row>
    <row r="64" spans="1:17" ht="15" x14ac:dyDescent="0.25">
      <c r="A64" s="1">
        <v>2016</v>
      </c>
      <c r="B64" s="55">
        <v>456.66452407461281</v>
      </c>
      <c r="C64" s="15">
        <v>32.5242919921875</v>
      </c>
      <c r="D64" s="12">
        <f t="shared" si="2"/>
        <v>6.224741547430343E-2</v>
      </c>
      <c r="E64" s="10"/>
      <c r="F64" s="127">
        <v>455.54280490230394</v>
      </c>
      <c r="G64" s="33">
        <v>32.31016845904665</v>
      </c>
      <c r="H64" s="58">
        <f t="shared" si="1"/>
        <v>6.2247352055503538E-2</v>
      </c>
      <c r="I64" s="4"/>
      <c r="J64" s="17">
        <f t="shared" si="5"/>
        <v>2.4563308800523292E-3</v>
      </c>
      <c r="K64" s="12">
        <f t="shared" si="6"/>
        <v>6.5834955974532232E-3</v>
      </c>
      <c r="L64" s="12">
        <f t="shared" si="7"/>
        <v>1.0188182016699861E-6</v>
      </c>
      <c r="M64" s="4"/>
      <c r="P64" s="2"/>
      <c r="Q64" s="2"/>
    </row>
    <row r="65" spans="1:17" ht="15" x14ac:dyDescent="0.25">
      <c r="A65" s="1">
        <v>2017</v>
      </c>
      <c r="B65" s="55">
        <v>461.62908404024</v>
      </c>
      <c r="C65" s="15">
        <v>33.390262603759766</v>
      </c>
      <c r="D65" s="99">
        <f>(C65-(B65-B64))/B64</f>
        <v>6.2246356219009036E-2</v>
      </c>
      <c r="E65" s="10"/>
      <c r="F65" s="55">
        <v>460.67508413212499</v>
      </c>
      <c r="G65" s="15">
        <v>33.488712310791016</v>
      </c>
      <c r="H65" s="99">
        <f t="shared" si="1"/>
        <v>6.224757097645589E-2</v>
      </c>
      <c r="I65" s="4"/>
      <c r="J65" s="17">
        <f t="shared" si="5"/>
        <v>2.0665940277537816E-3</v>
      </c>
      <c r="K65" s="95">
        <f t="shared" si="6"/>
        <v>-2.9484556081378196E-3</v>
      </c>
      <c r="L65" s="95">
        <f t="shared" si="7"/>
        <v>-1.9515318175100703E-5</v>
      </c>
      <c r="M65" s="4"/>
      <c r="P65" s="2"/>
      <c r="Q65" s="2"/>
    </row>
    <row r="66" spans="1:17" s="140" customFormat="1" ht="15" x14ac:dyDescent="0.25">
      <c r="A66" s="97">
        <v>2018</v>
      </c>
      <c r="B66" s="125">
        <v>466.7461701127076</v>
      </c>
      <c r="C66" s="73">
        <v>33.851631164550781</v>
      </c>
      <c r="D66" s="99">
        <f>(C66-(B66-B65))/B65</f>
        <v>6.2245959116341995E-2</v>
      </c>
      <c r="E66" s="202"/>
      <c r="F66" s="125">
        <v>466.38734830839417</v>
      </c>
      <c r="G66" s="73">
        <v>34.388828277587891</v>
      </c>
      <c r="H66" s="99">
        <f>(G66-(F66-F65))/F65</f>
        <v>6.2249001713090411E-2</v>
      </c>
      <c r="I66" s="98"/>
      <c r="J66" s="201">
        <f t="shared" si="5"/>
        <v>7.687728947551719E-4</v>
      </c>
      <c r="K66" s="99">
        <f t="shared" si="6"/>
        <v>-1.5869164780445168E-2</v>
      </c>
      <c r="L66" s="99">
        <f t="shared" si="7"/>
        <v>-4.888022920057282E-5</v>
      </c>
      <c r="M66" s="98"/>
      <c r="P66" s="2"/>
      <c r="Q66" s="2"/>
    </row>
    <row r="67" spans="1:17" s="140" customFormat="1" ht="15" x14ac:dyDescent="0.25">
      <c r="A67" s="92">
        <v>2019</v>
      </c>
      <c r="B67" s="55">
        <v>471.61395145984915</v>
      </c>
      <c r="C67" s="15">
        <v>33.921928405761719</v>
      </c>
      <c r="D67" s="99">
        <f t="shared" ref="D67:D68" si="8">(C67-(B67-B66))/B66</f>
        <v>6.2248281655110996E-2</v>
      </c>
      <c r="E67" s="10"/>
      <c r="F67" s="55">
        <v>472.16753974394499</v>
      </c>
      <c r="G67" s="15">
        <v>34.810756683349609</v>
      </c>
      <c r="H67" s="99">
        <f t="shared" ref="H67:H68" si="9">(G67-(F67-F66))/F66</f>
        <v>6.2245610549029315E-2</v>
      </c>
      <c r="I67" s="4"/>
      <c r="J67" s="201">
        <f t="shared" si="5"/>
        <v>-1.1738165980506785E-3</v>
      </c>
      <c r="K67" s="99">
        <f t="shared" si="6"/>
        <v>-2.620217420884955E-2</v>
      </c>
      <c r="L67" s="99">
        <f t="shared" si="7"/>
        <v>4.2910519144612364E-5</v>
      </c>
      <c r="M67" s="4"/>
      <c r="P67" s="2"/>
      <c r="Q67" s="2"/>
    </row>
    <row r="68" spans="1:17" ht="15.75" thickBot="1" x14ac:dyDescent="0.3">
      <c r="A68" s="100">
        <v>2020</v>
      </c>
      <c r="B68" s="126">
        <v>476.07167904230533</v>
      </c>
      <c r="C68" s="41">
        <v>33.814491271972656</v>
      </c>
      <c r="D68" s="102">
        <f t="shared" si="8"/>
        <v>6.2247445391818007E-2</v>
      </c>
      <c r="E68" s="211"/>
      <c r="F68" s="126">
        <v>477.73536073887402</v>
      </c>
      <c r="G68" s="41">
        <v>34.959171295166016</v>
      </c>
      <c r="H68" s="102">
        <f t="shared" si="9"/>
        <v>6.224771469079772E-2</v>
      </c>
      <c r="I68" s="28"/>
      <c r="J68" s="30">
        <f t="shared" si="5"/>
        <v>-3.4946033755157428E-3</v>
      </c>
      <c r="K68" s="102">
        <f t="shared" si="6"/>
        <v>-3.3851759412454455E-2</v>
      </c>
      <c r="L68" s="102">
        <f t="shared" si="7"/>
        <v>-4.326265568298652E-6</v>
      </c>
      <c r="M68" s="28"/>
      <c r="P68" s="2"/>
      <c r="Q68" s="2"/>
    </row>
    <row r="69" spans="1:17" ht="15" thickTop="1" x14ac:dyDescent="0.2">
      <c r="C69" s="3"/>
      <c r="E69" s="9"/>
      <c r="I69" s="9"/>
      <c r="P69" s="140"/>
      <c r="Q69" s="2"/>
    </row>
    <row r="70" spans="1:17" x14ac:dyDescent="0.2">
      <c r="E70" s="9"/>
      <c r="F70" s="2"/>
      <c r="I70" s="9"/>
      <c r="N70" s="2"/>
      <c r="Q70" s="2"/>
    </row>
    <row r="71" spans="1:17" x14ac:dyDescent="0.2">
      <c r="A71" t="s">
        <v>79</v>
      </c>
      <c r="L71" s="140"/>
      <c r="N71" s="2"/>
      <c r="Q71" s="2"/>
    </row>
    <row r="72" spans="1:17" x14ac:dyDescent="0.2">
      <c r="C72" t="s">
        <v>126</v>
      </c>
      <c r="J72" s="77"/>
      <c r="K72" s="2"/>
      <c r="L72" s="140"/>
      <c r="M72" s="2"/>
      <c r="N72" s="2"/>
      <c r="O72" s="2"/>
    </row>
    <row r="73" spans="1:17" x14ac:dyDescent="0.2">
      <c r="K73" s="121"/>
      <c r="L73" s="140"/>
      <c r="N73" s="2"/>
      <c r="O73" s="2"/>
    </row>
    <row r="74" spans="1:17" x14ac:dyDescent="0.2">
      <c r="C74" t="s">
        <v>80</v>
      </c>
      <c r="L74" s="140"/>
      <c r="N74" s="2"/>
      <c r="O74" s="2"/>
      <c r="Q74" s="2"/>
    </row>
    <row r="75" spans="1:17" x14ac:dyDescent="0.2">
      <c r="L75" s="140"/>
      <c r="N75" s="2"/>
      <c r="O75" s="2"/>
    </row>
    <row r="76" spans="1:17" x14ac:dyDescent="0.2">
      <c r="D76" t="s">
        <v>127</v>
      </c>
      <c r="L76" s="140"/>
      <c r="N76" s="2"/>
      <c r="O76" s="2"/>
    </row>
    <row r="77" spans="1:17" x14ac:dyDescent="0.2">
      <c r="L77" s="140"/>
      <c r="N77" s="2"/>
    </row>
    <row r="78" spans="1:17" x14ac:dyDescent="0.2">
      <c r="B78"/>
      <c r="D78" t="s">
        <v>82</v>
      </c>
      <c r="N78" s="2"/>
    </row>
    <row r="80" spans="1:17" x14ac:dyDescent="0.2">
      <c r="D80" t="s">
        <v>81</v>
      </c>
    </row>
    <row r="82" spans="1:8" x14ac:dyDescent="0.2">
      <c r="A82" s="91" t="s">
        <v>122</v>
      </c>
      <c r="D82" t="s">
        <v>128</v>
      </c>
    </row>
    <row r="83" spans="1:8" x14ac:dyDescent="0.2">
      <c r="D83" t="s">
        <v>129</v>
      </c>
    </row>
    <row r="84" spans="1:8" x14ac:dyDescent="0.2">
      <c r="D84" t="s">
        <v>130</v>
      </c>
    </row>
    <row r="85" spans="1:8" x14ac:dyDescent="0.2">
      <c r="D85" t="s">
        <v>292</v>
      </c>
      <c r="F85" s="91"/>
    </row>
    <row r="86" spans="1:8" s="140" customFormat="1" x14ac:dyDescent="0.2"/>
    <row r="87" spans="1:8" x14ac:dyDescent="0.2">
      <c r="D87" t="s">
        <v>131</v>
      </c>
      <c r="E87" s="91"/>
      <c r="F87" s="91"/>
      <c r="G87" s="91"/>
      <c r="H87" s="2"/>
    </row>
    <row r="88" spans="1:8" x14ac:dyDescent="0.2">
      <c r="D88" t="s">
        <v>132</v>
      </c>
      <c r="E88" s="91"/>
      <c r="F88" s="91"/>
      <c r="G88" s="91"/>
      <c r="H88" s="2"/>
    </row>
    <row r="89" spans="1:8" x14ac:dyDescent="0.2">
      <c r="D89" t="s">
        <v>130</v>
      </c>
      <c r="E89" s="91"/>
      <c r="F89" s="91"/>
      <c r="G89" s="91"/>
      <c r="H89" s="2"/>
    </row>
    <row r="90" spans="1:8" x14ac:dyDescent="0.2">
      <c r="E90" s="91"/>
      <c r="F90" s="91"/>
      <c r="G90" s="91"/>
      <c r="H90" s="2"/>
    </row>
    <row r="91" spans="1:8" x14ac:dyDescent="0.2">
      <c r="D91" t="s">
        <v>133</v>
      </c>
      <c r="E91" s="91"/>
      <c r="F91" s="91"/>
      <c r="G91" s="91"/>
      <c r="H91" s="2"/>
    </row>
    <row r="92" spans="1:8" x14ac:dyDescent="0.2">
      <c r="D92" t="s">
        <v>134</v>
      </c>
      <c r="E92" s="91"/>
      <c r="F92" s="91"/>
      <c r="G92" s="91"/>
      <c r="H92" s="2"/>
    </row>
    <row r="93" spans="1:8" x14ac:dyDescent="0.2">
      <c r="D93" t="s">
        <v>130</v>
      </c>
      <c r="E93" s="91"/>
      <c r="F93" s="91"/>
      <c r="G93" s="91"/>
      <c r="H93" s="2"/>
    </row>
    <row r="94" spans="1:8" x14ac:dyDescent="0.2">
      <c r="B94" s="91"/>
      <c r="C94" s="77"/>
      <c r="D94" s="122" t="s">
        <v>293</v>
      </c>
      <c r="E94" s="91"/>
      <c r="F94" s="91"/>
      <c r="G94" s="91"/>
      <c r="H94" s="2"/>
    </row>
    <row r="95" spans="1:8" x14ac:dyDescent="0.2">
      <c r="B95" s="91"/>
      <c r="C95" s="77"/>
      <c r="D95" s="122"/>
      <c r="E95" s="91"/>
      <c r="F95" s="91"/>
      <c r="G95" s="91"/>
      <c r="H95" s="2"/>
    </row>
    <row r="96" spans="1:8" x14ac:dyDescent="0.2">
      <c r="B96" s="91"/>
      <c r="C96" s="77"/>
      <c r="D96" s="122"/>
      <c r="E96" s="91"/>
      <c r="F96" s="91"/>
      <c r="G96" s="91"/>
      <c r="H96" s="2"/>
    </row>
    <row r="97" spans="2:8" x14ac:dyDescent="0.2">
      <c r="B97" s="91"/>
      <c r="C97" s="77"/>
      <c r="D97" s="122"/>
      <c r="E97" s="91"/>
      <c r="F97" s="91"/>
      <c r="G97" s="91"/>
      <c r="H97" s="2"/>
    </row>
    <row r="98" spans="2:8" x14ac:dyDescent="0.2">
      <c r="B98" s="91"/>
      <c r="C98" s="77"/>
      <c r="D98" s="122"/>
      <c r="E98" s="91"/>
      <c r="F98" s="91"/>
      <c r="G98" s="91"/>
      <c r="H98" s="2"/>
    </row>
    <row r="99" spans="2:8" x14ac:dyDescent="0.2">
      <c r="B99" s="91"/>
      <c r="C99" s="77"/>
      <c r="D99" s="122"/>
      <c r="E99" s="91"/>
      <c r="F99" s="91"/>
      <c r="G99" s="91"/>
      <c r="H99" s="2"/>
    </row>
    <row r="100" spans="2:8" x14ac:dyDescent="0.2">
      <c r="B100" s="91"/>
      <c r="C100" s="77"/>
      <c r="D100" s="122"/>
      <c r="E100" s="91"/>
      <c r="F100" s="91"/>
      <c r="G100" s="91"/>
      <c r="H100" s="2"/>
    </row>
    <row r="101" spans="2:8" x14ac:dyDescent="0.2">
      <c r="B101" s="91"/>
      <c r="C101" s="77"/>
      <c r="D101" s="122"/>
      <c r="E101" s="91"/>
      <c r="F101" s="91"/>
      <c r="G101" s="91"/>
      <c r="H101" s="2"/>
    </row>
    <row r="102" spans="2:8" x14ac:dyDescent="0.2">
      <c r="B102" s="91"/>
      <c r="C102" s="77"/>
      <c r="D102" s="122"/>
      <c r="E102" s="91"/>
      <c r="F102" s="91"/>
      <c r="G102" s="91"/>
      <c r="H102" s="2"/>
    </row>
    <row r="103" spans="2:8" x14ac:dyDescent="0.2">
      <c r="B103" s="91"/>
      <c r="C103" s="77"/>
      <c r="D103" s="122"/>
      <c r="E103" s="91"/>
      <c r="F103" s="91"/>
      <c r="G103" s="91"/>
      <c r="H103" s="2"/>
    </row>
    <row r="104" spans="2:8" x14ac:dyDescent="0.2">
      <c r="B104" s="91"/>
      <c r="C104" s="77"/>
      <c r="D104" s="122"/>
      <c r="E104" s="91"/>
      <c r="F104" s="91"/>
      <c r="G104" s="91"/>
      <c r="H104" s="2"/>
    </row>
    <row r="105" spans="2:8" x14ac:dyDescent="0.2">
      <c r="B105" s="91"/>
      <c r="C105" s="77"/>
      <c r="D105" s="122"/>
      <c r="E105" s="91"/>
      <c r="F105" s="91"/>
      <c r="G105" s="91"/>
      <c r="H105" s="2"/>
    </row>
    <row r="106" spans="2:8" x14ac:dyDescent="0.2">
      <c r="B106" s="91"/>
      <c r="C106" s="77"/>
      <c r="D106" s="122"/>
      <c r="E106" s="91"/>
      <c r="F106" s="91"/>
      <c r="G106" s="91"/>
      <c r="H106" s="2"/>
    </row>
    <row r="107" spans="2:8" x14ac:dyDescent="0.2">
      <c r="B107" s="91"/>
      <c r="C107" s="77"/>
      <c r="D107" s="122"/>
      <c r="E107" s="91"/>
      <c r="F107" s="91"/>
      <c r="G107" s="91"/>
      <c r="H107" s="2"/>
    </row>
    <row r="108" spans="2:8" x14ac:dyDescent="0.2">
      <c r="B108" s="91"/>
      <c r="C108" s="77"/>
      <c r="D108" s="122"/>
      <c r="E108" s="91"/>
      <c r="F108" s="91"/>
      <c r="G108" s="91"/>
      <c r="H108" s="2"/>
    </row>
    <row r="109" spans="2:8" x14ac:dyDescent="0.2">
      <c r="B109" s="91"/>
      <c r="C109" s="77"/>
      <c r="D109" s="122"/>
      <c r="E109" s="91"/>
      <c r="F109" s="91"/>
      <c r="G109" s="91"/>
      <c r="H109" s="2"/>
    </row>
    <row r="110" spans="2:8" x14ac:dyDescent="0.2">
      <c r="B110" s="91"/>
      <c r="C110" s="77"/>
      <c r="D110" s="122"/>
      <c r="E110" s="91"/>
      <c r="F110" s="91"/>
      <c r="G110" s="91"/>
      <c r="H110" s="2"/>
    </row>
    <row r="111" spans="2:8" x14ac:dyDescent="0.2">
      <c r="B111" s="91"/>
      <c r="C111" s="77"/>
      <c r="D111" s="122"/>
      <c r="E111" s="91"/>
      <c r="F111" s="91"/>
      <c r="G111" s="91"/>
      <c r="H111" s="2"/>
    </row>
    <row r="112" spans="2:8" x14ac:dyDescent="0.2">
      <c r="B112" s="91"/>
      <c r="C112" s="77"/>
      <c r="D112" s="122"/>
      <c r="E112" s="91"/>
      <c r="F112" s="91"/>
      <c r="G112" s="91"/>
      <c r="H112" s="2"/>
    </row>
    <row r="113" spans="2:8" x14ac:dyDescent="0.2">
      <c r="B113" s="91"/>
      <c r="C113" s="77"/>
      <c r="D113" s="122"/>
      <c r="E113" s="91"/>
      <c r="F113" s="91"/>
      <c r="G113" s="91"/>
      <c r="H113" s="2"/>
    </row>
    <row r="114" spans="2:8" x14ac:dyDescent="0.2">
      <c r="B114" s="91"/>
      <c r="C114" s="77"/>
      <c r="D114" s="122"/>
      <c r="E114" s="91"/>
      <c r="F114" s="91"/>
      <c r="G114" s="91"/>
      <c r="H114" s="2"/>
    </row>
    <row r="115" spans="2:8" x14ac:dyDescent="0.2">
      <c r="B115" s="91"/>
      <c r="C115" s="77"/>
      <c r="D115" s="122"/>
      <c r="E115" s="91"/>
      <c r="F115" s="91"/>
      <c r="G115" s="91"/>
      <c r="H115" s="2"/>
    </row>
    <row r="116" spans="2:8" x14ac:dyDescent="0.2">
      <c r="B116" s="91"/>
      <c r="C116" s="77"/>
      <c r="D116" s="122"/>
      <c r="E116" s="91"/>
      <c r="F116" s="91"/>
      <c r="G116" s="91"/>
      <c r="H116" s="2"/>
    </row>
    <row r="117" spans="2:8" x14ac:dyDescent="0.2">
      <c r="B117" s="91"/>
      <c r="C117" s="77"/>
      <c r="D117" s="122"/>
      <c r="E117" s="91"/>
      <c r="F117" s="91"/>
      <c r="G117" s="91"/>
      <c r="H117" s="2"/>
    </row>
    <row r="118" spans="2:8" x14ac:dyDescent="0.2">
      <c r="B118" s="91"/>
      <c r="C118" s="77"/>
      <c r="D118" s="122"/>
      <c r="E118" s="91"/>
      <c r="F118" s="91"/>
      <c r="G118" s="91"/>
      <c r="H118" s="2"/>
    </row>
    <row r="119" spans="2:8" x14ac:dyDescent="0.2">
      <c r="B119" s="91"/>
      <c r="C119" s="77"/>
      <c r="D119" s="122"/>
      <c r="E119" s="91"/>
      <c r="F119" s="91"/>
      <c r="G119" s="91"/>
      <c r="H119" s="2"/>
    </row>
    <row r="120" spans="2:8" x14ac:dyDescent="0.2">
      <c r="B120" s="91"/>
      <c r="C120" s="77"/>
      <c r="D120" s="122"/>
      <c r="E120" s="91"/>
      <c r="F120" s="91"/>
      <c r="G120" s="91"/>
      <c r="H120" s="2"/>
    </row>
    <row r="121" spans="2:8" x14ac:dyDescent="0.2">
      <c r="B121" s="91"/>
      <c r="C121" s="77"/>
      <c r="D121" s="122"/>
      <c r="E121" s="91"/>
      <c r="F121" s="91"/>
      <c r="G121" s="91"/>
      <c r="H121" s="2"/>
    </row>
    <row r="122" spans="2:8" x14ac:dyDescent="0.2">
      <c r="B122" s="91"/>
      <c r="C122" s="77"/>
      <c r="D122" s="122"/>
      <c r="E122" s="91"/>
      <c r="F122" s="91"/>
      <c r="G122" s="91"/>
      <c r="H122" s="2"/>
    </row>
    <row r="123" spans="2:8" x14ac:dyDescent="0.2">
      <c r="B123" s="91"/>
      <c r="C123" s="77"/>
      <c r="D123" s="122"/>
      <c r="E123" s="91"/>
      <c r="F123" s="91"/>
      <c r="G123" s="91"/>
      <c r="H123" s="2"/>
    </row>
    <row r="124" spans="2:8" x14ac:dyDescent="0.2">
      <c r="B124" s="91"/>
      <c r="C124" s="77"/>
      <c r="D124" s="122"/>
      <c r="E124" s="91"/>
      <c r="F124" s="91"/>
      <c r="G124" s="91"/>
      <c r="H124" s="2"/>
    </row>
    <row r="125" spans="2:8" x14ac:dyDescent="0.2">
      <c r="B125" s="91"/>
      <c r="C125" s="77"/>
      <c r="D125" s="122"/>
      <c r="E125" s="91"/>
      <c r="F125" s="91"/>
      <c r="G125" s="91"/>
      <c r="H125" s="2"/>
    </row>
    <row r="126" spans="2:8" x14ac:dyDescent="0.2">
      <c r="B126" s="91"/>
      <c r="C126" s="77"/>
      <c r="D126" s="122"/>
      <c r="E126" s="91"/>
      <c r="F126" s="91"/>
      <c r="G126" s="91"/>
      <c r="H126" s="2"/>
    </row>
    <row r="127" spans="2:8" x14ac:dyDescent="0.2">
      <c r="B127" s="91"/>
      <c r="C127" s="77"/>
      <c r="D127" s="122"/>
      <c r="E127" s="91"/>
      <c r="F127" s="91"/>
      <c r="G127" s="91"/>
      <c r="H127" s="2"/>
    </row>
    <row r="128" spans="2:8" x14ac:dyDescent="0.2">
      <c r="B128" s="91"/>
      <c r="C128" s="77"/>
      <c r="D128" s="122"/>
      <c r="E128" s="91"/>
      <c r="F128" s="91"/>
      <c r="G128" s="91"/>
      <c r="H128" s="2"/>
    </row>
    <row r="129" spans="2:8" x14ac:dyDescent="0.2">
      <c r="B129" s="91"/>
      <c r="C129" s="77"/>
      <c r="D129" s="122"/>
      <c r="E129" s="91"/>
      <c r="F129" s="91"/>
      <c r="G129" s="91"/>
      <c r="H129" s="2"/>
    </row>
    <row r="130" spans="2:8" x14ac:dyDescent="0.2">
      <c r="B130" s="91"/>
      <c r="C130" s="77"/>
      <c r="D130" s="122"/>
      <c r="E130" s="91"/>
      <c r="F130" s="91"/>
      <c r="G130" s="91"/>
      <c r="H130" s="2"/>
    </row>
    <row r="131" spans="2:8" x14ac:dyDescent="0.2">
      <c r="B131" s="91"/>
      <c r="C131" s="77"/>
      <c r="D131" s="122"/>
      <c r="E131" s="91"/>
      <c r="F131" s="91"/>
      <c r="G131" s="91"/>
      <c r="H131" s="2"/>
    </row>
    <row r="132" spans="2:8" x14ac:dyDescent="0.2">
      <c r="B132" s="91"/>
      <c r="C132" s="77"/>
      <c r="D132" s="122"/>
      <c r="E132" s="91"/>
      <c r="F132" s="91"/>
      <c r="G132" s="91"/>
      <c r="H132" s="2"/>
    </row>
    <row r="133" spans="2:8" x14ac:dyDescent="0.2">
      <c r="B133" s="91"/>
      <c r="C133" s="77"/>
      <c r="D133" s="122"/>
      <c r="E133" s="91"/>
      <c r="F133" s="91"/>
      <c r="G133" s="91"/>
      <c r="H133" s="2"/>
    </row>
    <row r="134" spans="2:8" x14ac:dyDescent="0.2">
      <c r="B134" s="91"/>
      <c r="C134" s="77"/>
      <c r="D134" s="122"/>
      <c r="E134" s="91"/>
      <c r="F134" s="91"/>
      <c r="G134" s="91"/>
      <c r="H134" s="2"/>
    </row>
    <row r="135" spans="2:8" x14ac:dyDescent="0.2">
      <c r="B135" s="91"/>
      <c r="C135" s="77"/>
      <c r="D135" s="122"/>
      <c r="E135" s="91"/>
      <c r="F135" s="91"/>
      <c r="G135" s="91"/>
      <c r="H135" s="2"/>
    </row>
    <row r="136" spans="2:8" x14ac:dyDescent="0.2">
      <c r="B136" s="91"/>
      <c r="C136" s="77"/>
      <c r="D136" s="122"/>
      <c r="E136" s="91"/>
      <c r="F136" s="91"/>
      <c r="G136" s="91"/>
      <c r="H136" s="2"/>
    </row>
    <row r="137" spans="2:8" x14ac:dyDescent="0.2">
      <c r="B137" s="91"/>
      <c r="C137" s="77"/>
      <c r="D137" s="122"/>
      <c r="E137" s="91"/>
      <c r="F137" s="91"/>
      <c r="G137" s="91"/>
      <c r="H137" s="2"/>
    </row>
    <row r="138" spans="2:8" x14ac:dyDescent="0.2">
      <c r="B138" s="91"/>
      <c r="C138" s="77"/>
      <c r="D138" s="122"/>
      <c r="E138" s="91"/>
      <c r="F138" s="91"/>
      <c r="G138" s="91"/>
      <c r="H138" s="2"/>
    </row>
    <row r="139" spans="2:8" x14ac:dyDescent="0.2">
      <c r="B139" s="91"/>
      <c r="C139" s="77"/>
      <c r="D139" s="122"/>
      <c r="E139" s="91"/>
      <c r="F139" s="91"/>
      <c r="G139" s="91"/>
      <c r="H139" s="2"/>
    </row>
    <row r="140" spans="2:8" x14ac:dyDescent="0.2">
      <c r="B140" s="91"/>
      <c r="C140" s="77"/>
      <c r="D140" s="122"/>
      <c r="E140" s="91"/>
      <c r="F140" s="91"/>
      <c r="G140" s="91"/>
      <c r="H140" s="2"/>
    </row>
    <row r="141" spans="2:8" x14ac:dyDescent="0.2">
      <c r="B141" s="91"/>
      <c r="C141" s="77"/>
      <c r="D141" s="122"/>
      <c r="E141" s="91"/>
      <c r="F141" s="91"/>
      <c r="G141" s="91"/>
      <c r="H141" s="2"/>
    </row>
    <row r="142" spans="2:8" x14ac:dyDescent="0.2">
      <c r="B142" s="91"/>
      <c r="C142" s="77"/>
      <c r="D142" s="122"/>
      <c r="F142" s="91"/>
      <c r="G142" s="91"/>
      <c r="H142" s="2"/>
    </row>
    <row r="143" spans="2:8" x14ac:dyDescent="0.2">
      <c r="B143" s="91"/>
      <c r="C143" s="77"/>
      <c r="D143" s="122"/>
      <c r="F143" s="91"/>
      <c r="G143" s="91"/>
      <c r="H143" s="2"/>
    </row>
    <row r="144" spans="2:8" x14ac:dyDescent="0.2">
      <c r="B144" s="91"/>
      <c r="C144" s="77"/>
      <c r="D144" s="122"/>
      <c r="F144" s="91"/>
      <c r="G144" s="91"/>
      <c r="H144" s="2"/>
    </row>
    <row r="145" spans="2:8" x14ac:dyDescent="0.2">
      <c r="B145" s="91"/>
      <c r="C145" s="77"/>
      <c r="D145" s="122"/>
      <c r="F145" s="91"/>
      <c r="G145" s="91"/>
      <c r="H145" s="2"/>
    </row>
    <row r="146" spans="2:8" x14ac:dyDescent="0.2">
      <c r="B146" s="91"/>
      <c r="C146" s="77"/>
      <c r="D146" s="122"/>
      <c r="F146" s="131"/>
      <c r="G146" s="122"/>
      <c r="H146" s="2"/>
    </row>
    <row r="147" spans="2:8" x14ac:dyDescent="0.2">
      <c r="B147" s="91"/>
      <c r="C147" s="77"/>
      <c r="D147" s="122"/>
      <c r="F147" s="131"/>
      <c r="G147" s="122"/>
    </row>
    <row r="148" spans="2:8" x14ac:dyDescent="0.2">
      <c r="B148" s="91"/>
      <c r="C148" s="77"/>
      <c r="D148" s="122"/>
      <c r="F148" s="131"/>
      <c r="G148" s="122"/>
    </row>
    <row r="149" spans="2:8" x14ac:dyDescent="0.2">
      <c r="B149" s="91"/>
      <c r="C149" s="77"/>
      <c r="D149" s="122"/>
      <c r="F149" s="131"/>
      <c r="G149" s="122"/>
    </row>
    <row r="150" spans="2:8" x14ac:dyDescent="0.2">
      <c r="B150" s="91"/>
      <c r="C150" s="77"/>
      <c r="D150" s="122"/>
      <c r="F150" s="131"/>
      <c r="G150" s="122"/>
    </row>
    <row r="151" spans="2:8" x14ac:dyDescent="0.2">
      <c r="B151" s="91"/>
      <c r="C151" s="77"/>
      <c r="D151" s="122"/>
      <c r="F151" s="131"/>
      <c r="G151" s="122"/>
    </row>
    <row r="152" spans="2:8" x14ac:dyDescent="0.2">
      <c r="B152" s="91"/>
      <c r="C152" s="77"/>
      <c r="D152" s="122"/>
      <c r="F152" s="131"/>
    </row>
    <row r="153" spans="2:8" x14ac:dyDescent="0.2">
      <c r="B153" s="91"/>
      <c r="C153" s="2"/>
      <c r="F153" s="131"/>
    </row>
    <row r="154" spans="2:8" x14ac:dyDescent="0.2">
      <c r="B154" s="91"/>
      <c r="C154" s="2"/>
      <c r="F154" s="131"/>
    </row>
  </sheetData>
  <mergeCells count="3">
    <mergeCell ref="A1:D1"/>
    <mergeCell ref="F1:H1"/>
    <mergeCell ref="J1:M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AJ140"/>
  <sheetViews>
    <sheetView zoomScaleNormal="100" workbookViewId="0">
      <pane xSplit="1" topLeftCell="B1" activePane="topRight" state="frozen"/>
      <selection activeCell="A4" sqref="A4"/>
      <selection pane="topRight" sqref="A1:K1"/>
    </sheetView>
  </sheetViews>
  <sheetFormatPr defaultRowHeight="14.25" x14ac:dyDescent="0.2"/>
  <cols>
    <col min="1" max="1" width="14.625" customWidth="1"/>
    <col min="2" max="2" width="16" customWidth="1"/>
    <col min="3" max="3" width="16.75" customWidth="1"/>
    <col min="4" max="4" width="15.625" customWidth="1"/>
    <col min="5" max="5" width="12.5" customWidth="1"/>
    <col min="6" max="6" width="14.625" style="3" customWidth="1"/>
    <col min="7" max="7" width="11.875" customWidth="1"/>
    <col min="8" max="8" width="13.75" customWidth="1"/>
    <col min="9" max="9" width="15" customWidth="1"/>
    <col min="10" max="10" width="15.25" customWidth="1"/>
    <col min="11" max="11" width="19" customWidth="1"/>
    <col min="12" max="13" width="12.5" customWidth="1"/>
    <col min="14" max="14" width="14.75" customWidth="1"/>
    <col min="15" max="15" width="14.625" customWidth="1"/>
    <col min="16" max="16" width="12.5" customWidth="1"/>
    <col min="17" max="17" width="15.75" customWidth="1"/>
    <col min="18" max="18" width="12.5" customWidth="1"/>
    <col min="19" max="19" width="15.25" customWidth="1"/>
    <col min="20" max="20" width="15.5" customWidth="1"/>
    <col min="21" max="21" width="14" customWidth="1"/>
    <col min="22" max="22" width="20.625" customWidth="1"/>
    <col min="24" max="28" width="16.625" style="38" customWidth="1"/>
    <col min="29" max="29" width="15.5" style="38" customWidth="1"/>
    <col min="30" max="31" width="16.625" style="38" customWidth="1"/>
    <col min="32" max="33" width="14.75" style="38" customWidth="1"/>
  </cols>
  <sheetData>
    <row r="1" spans="1:36" s="3" customFormat="1" ht="22.5" x14ac:dyDescent="0.3">
      <c r="A1" s="308" t="s">
        <v>58</v>
      </c>
      <c r="B1" s="308"/>
      <c r="C1" s="308"/>
      <c r="D1" s="308"/>
      <c r="E1" s="308"/>
      <c r="F1" s="308"/>
      <c r="G1" s="308"/>
      <c r="H1" s="308"/>
      <c r="I1" s="308"/>
      <c r="J1" s="308"/>
      <c r="K1" s="308"/>
      <c r="M1" s="308" t="s">
        <v>59</v>
      </c>
      <c r="N1" s="308"/>
      <c r="O1" s="308"/>
      <c r="P1" s="308"/>
      <c r="Q1" s="308"/>
      <c r="R1" s="308"/>
      <c r="S1" s="308"/>
      <c r="T1" s="308"/>
      <c r="U1" s="308"/>
      <c r="V1" s="308"/>
      <c r="X1" s="308" t="s">
        <v>64</v>
      </c>
      <c r="Y1" s="308"/>
      <c r="Z1" s="308"/>
      <c r="AA1" s="308"/>
      <c r="AB1" s="308"/>
      <c r="AC1" s="308"/>
      <c r="AD1" s="308"/>
      <c r="AE1" s="308"/>
      <c r="AF1" s="308"/>
      <c r="AG1" s="308"/>
      <c r="AH1" s="308"/>
    </row>
    <row r="2" spans="1:36" ht="42.75" x14ac:dyDescent="0.2">
      <c r="A2" s="1" t="s">
        <v>1</v>
      </c>
      <c r="B2" s="5" t="s">
        <v>7</v>
      </c>
      <c r="C2" s="16" t="s">
        <v>74</v>
      </c>
      <c r="D2" s="5" t="s">
        <v>35</v>
      </c>
      <c r="E2" s="5" t="s">
        <v>9</v>
      </c>
      <c r="F2" s="16" t="s">
        <v>36</v>
      </c>
      <c r="G2" s="16" t="s">
        <v>77</v>
      </c>
      <c r="H2" s="16" t="s">
        <v>78</v>
      </c>
      <c r="I2" s="16" t="s">
        <v>45</v>
      </c>
      <c r="J2" s="16" t="s">
        <v>47</v>
      </c>
      <c r="K2" s="5" t="s">
        <v>49</v>
      </c>
      <c r="L2" s="3"/>
      <c r="M2" s="5" t="s">
        <v>7</v>
      </c>
      <c r="N2" s="16" t="s">
        <v>74</v>
      </c>
      <c r="O2" s="5" t="s">
        <v>35</v>
      </c>
      <c r="P2" s="5" t="s">
        <v>9</v>
      </c>
      <c r="Q2" s="16" t="s">
        <v>36</v>
      </c>
      <c r="R2" s="16" t="s">
        <v>77</v>
      </c>
      <c r="S2" s="16" t="s">
        <v>78</v>
      </c>
      <c r="T2" s="16" t="s">
        <v>45</v>
      </c>
      <c r="U2" s="16" t="s">
        <v>47</v>
      </c>
      <c r="V2" s="16" t="s">
        <v>49</v>
      </c>
      <c r="W2" s="3"/>
      <c r="X2" s="5" t="s">
        <v>7</v>
      </c>
      <c r="Y2" s="16" t="s">
        <v>74</v>
      </c>
      <c r="Z2" s="5" t="s">
        <v>35</v>
      </c>
      <c r="AA2" s="5" t="s">
        <v>9</v>
      </c>
      <c r="AB2" s="16" t="s">
        <v>36</v>
      </c>
      <c r="AC2" s="16" t="s">
        <v>77</v>
      </c>
      <c r="AD2" s="16" t="s">
        <v>78</v>
      </c>
      <c r="AE2" s="16" t="s">
        <v>45</v>
      </c>
      <c r="AF2" s="16" t="s">
        <v>47</v>
      </c>
      <c r="AG2" s="16" t="s">
        <v>49</v>
      </c>
    </row>
    <row r="3" spans="1:36" ht="28.5" x14ac:dyDescent="0.2">
      <c r="A3" s="1" t="s">
        <v>2</v>
      </c>
      <c r="B3" s="5" t="s">
        <v>8</v>
      </c>
      <c r="C3" s="16" t="s">
        <v>75</v>
      </c>
      <c r="D3" s="16" t="s">
        <v>75</v>
      </c>
      <c r="E3" s="5" t="s">
        <v>8</v>
      </c>
      <c r="F3" s="5" t="s">
        <v>76</v>
      </c>
      <c r="G3" s="5"/>
      <c r="H3" s="5"/>
      <c r="I3" s="5"/>
      <c r="J3" s="5"/>
      <c r="K3" s="5"/>
      <c r="L3" s="4"/>
      <c r="M3" s="5" t="s">
        <v>8</v>
      </c>
      <c r="N3" s="16" t="s">
        <v>75</v>
      </c>
      <c r="O3" s="16" t="s">
        <v>75</v>
      </c>
      <c r="P3" s="5" t="s">
        <v>8</v>
      </c>
      <c r="Q3" s="5" t="s">
        <v>76</v>
      </c>
      <c r="R3" s="5"/>
      <c r="S3" s="5"/>
      <c r="T3" s="5"/>
      <c r="U3" s="5"/>
      <c r="V3" s="5"/>
      <c r="W3" s="4"/>
      <c r="X3" s="5" t="s">
        <v>8</v>
      </c>
      <c r="Y3" s="16" t="s">
        <v>75</v>
      </c>
      <c r="Z3" s="16" t="s">
        <v>75</v>
      </c>
      <c r="AA3" s="5" t="s">
        <v>8</v>
      </c>
      <c r="AB3" s="5" t="s">
        <v>76</v>
      </c>
      <c r="AC3" s="5"/>
      <c r="AD3" s="5"/>
      <c r="AE3" s="5" t="s">
        <v>115</v>
      </c>
      <c r="AF3" s="5"/>
      <c r="AG3" s="5"/>
      <c r="AH3" s="4"/>
    </row>
    <row r="4" spans="1:36" x14ac:dyDescent="0.2">
      <c r="A4" s="1" t="s">
        <v>3</v>
      </c>
      <c r="B4" s="5"/>
      <c r="C4" s="5"/>
      <c r="D4" s="5"/>
      <c r="E4" s="5"/>
      <c r="F4" s="5"/>
      <c r="G4" s="5"/>
      <c r="H4" s="5" t="s">
        <v>44</v>
      </c>
      <c r="I4" s="5"/>
      <c r="J4" s="5" t="s">
        <v>44</v>
      </c>
      <c r="K4" s="5"/>
      <c r="L4" s="4"/>
      <c r="M4" s="5"/>
      <c r="N4" s="5"/>
      <c r="O4" s="5"/>
      <c r="P4" s="5"/>
      <c r="Q4" s="5"/>
      <c r="R4" s="5"/>
      <c r="S4" s="5" t="s">
        <v>44</v>
      </c>
      <c r="T4" s="5"/>
      <c r="U4" s="5" t="s">
        <v>44</v>
      </c>
      <c r="V4" s="5"/>
      <c r="W4" s="4"/>
      <c r="X4" s="5"/>
      <c r="Y4" s="5"/>
      <c r="Z4" s="5"/>
      <c r="AA4" s="5"/>
      <c r="AB4" s="5"/>
      <c r="AC4" s="5"/>
      <c r="AD4" s="5" t="s">
        <v>44</v>
      </c>
      <c r="AE4" s="5"/>
      <c r="AF4" s="5" t="s">
        <v>44</v>
      </c>
      <c r="AG4" s="5"/>
      <c r="AH4" s="4"/>
    </row>
    <row r="5" spans="1:36" x14ac:dyDescent="0.2">
      <c r="A5" s="1" t="s">
        <v>27</v>
      </c>
      <c r="B5" s="5" t="s">
        <v>42</v>
      </c>
      <c r="C5" s="5" t="s">
        <v>41</v>
      </c>
      <c r="D5" s="5" t="s">
        <v>43</v>
      </c>
      <c r="E5" s="5" t="s">
        <v>40</v>
      </c>
      <c r="F5" s="5" t="s">
        <v>39</v>
      </c>
      <c r="G5" s="5" t="s">
        <v>37</v>
      </c>
      <c r="H5" s="5" t="s">
        <v>38</v>
      </c>
      <c r="I5" s="5" t="s">
        <v>46</v>
      </c>
      <c r="J5" s="5" t="s">
        <v>48</v>
      </c>
      <c r="K5" s="5" t="s">
        <v>60</v>
      </c>
      <c r="L5" s="4"/>
      <c r="M5" s="5" t="s">
        <v>42</v>
      </c>
      <c r="N5" s="5" t="s">
        <v>41</v>
      </c>
      <c r="O5" s="5" t="s">
        <v>43</v>
      </c>
      <c r="P5" s="5" t="s">
        <v>40</v>
      </c>
      <c r="Q5" s="5" t="s">
        <v>39</v>
      </c>
      <c r="R5" s="5" t="s">
        <v>37</v>
      </c>
      <c r="S5" s="5" t="s">
        <v>38</v>
      </c>
      <c r="T5" s="5" t="s">
        <v>46</v>
      </c>
      <c r="U5" s="5" t="s">
        <v>48</v>
      </c>
      <c r="V5" s="5" t="s">
        <v>60</v>
      </c>
      <c r="W5" s="4"/>
      <c r="X5" s="5" t="s">
        <v>42</v>
      </c>
      <c r="Y5" s="5" t="s">
        <v>41</v>
      </c>
      <c r="Z5" s="5" t="s">
        <v>43</v>
      </c>
      <c r="AA5" s="5" t="s">
        <v>40</v>
      </c>
      <c r="AB5" s="5" t="s">
        <v>39</v>
      </c>
      <c r="AC5" s="5" t="s">
        <v>37</v>
      </c>
      <c r="AD5" s="5" t="s">
        <v>38</v>
      </c>
      <c r="AE5" s="5" t="s">
        <v>46</v>
      </c>
      <c r="AF5" s="5" t="s">
        <v>48</v>
      </c>
      <c r="AG5" s="5" t="s">
        <v>60</v>
      </c>
      <c r="AH5" s="4"/>
    </row>
    <row r="6" spans="1:36" x14ac:dyDescent="0.2">
      <c r="A6" s="3"/>
      <c r="B6" s="3"/>
      <c r="C6" s="3"/>
      <c r="D6" s="3"/>
      <c r="L6" s="4"/>
      <c r="W6" s="4"/>
      <c r="AH6" s="4"/>
    </row>
    <row r="7" spans="1:36" ht="15" thickBot="1" x14ac:dyDescent="0.25">
      <c r="A7" s="32" t="s">
        <v>0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28"/>
      <c r="M7" s="32"/>
      <c r="N7" s="32"/>
      <c r="O7" s="32"/>
      <c r="P7" s="32"/>
      <c r="Q7" s="32"/>
      <c r="R7" s="32"/>
      <c r="S7" s="32"/>
      <c r="T7" s="32"/>
      <c r="U7" s="32"/>
      <c r="V7" s="32"/>
      <c r="W7" s="28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28"/>
    </row>
    <row r="8" spans="1:36" ht="15.75" thickTop="1" x14ac:dyDescent="0.25">
      <c r="A8" s="1">
        <v>1960</v>
      </c>
      <c r="B8" s="18">
        <v>2199.2402325500002</v>
      </c>
      <c r="C8" s="18">
        <v>2100.1789015899999</v>
      </c>
      <c r="D8" s="18">
        <f>B8*C8</f>
        <v>4618797.9359293953</v>
      </c>
      <c r="E8" s="18"/>
      <c r="F8" s="18">
        <v>2983.6804999999999</v>
      </c>
      <c r="G8" s="15"/>
      <c r="H8" s="2"/>
      <c r="I8" s="44"/>
      <c r="K8" s="35"/>
      <c r="L8" s="4"/>
      <c r="M8" s="18">
        <v>2199.2402325500002</v>
      </c>
      <c r="N8" s="18">
        <v>2100.1789015899999</v>
      </c>
      <c r="O8" s="18">
        <f>M8*N8</f>
        <v>4618797.9359293953</v>
      </c>
      <c r="Q8" s="18">
        <v>2983.6804999999999</v>
      </c>
      <c r="R8" s="15"/>
      <c r="S8" s="15"/>
      <c r="T8" s="45"/>
      <c r="U8" s="18"/>
      <c r="V8" s="36"/>
      <c r="W8" s="4"/>
      <c r="X8" s="12">
        <f t="shared" ref="X8:X39" si="0">(B8-M8)/B8</f>
        <v>0</v>
      </c>
      <c r="Y8" s="12">
        <f t="shared" ref="Y8:Y39" si="1">(C8-N8)/C8</f>
        <v>0</v>
      </c>
      <c r="Z8" s="12">
        <f t="shared" ref="Z8:Z39" si="2">(D8-O8)/D8</f>
        <v>0</v>
      </c>
      <c r="AA8" s="12"/>
      <c r="AB8" s="12">
        <f t="shared" ref="AB8:AB39" si="3">(F8-Q8)/F8</f>
        <v>0</v>
      </c>
      <c r="AC8" s="12"/>
      <c r="AD8" s="12"/>
      <c r="AE8" s="48"/>
      <c r="AF8" s="12"/>
      <c r="AG8" s="17"/>
      <c r="AH8" s="4"/>
      <c r="AI8" s="3"/>
      <c r="AJ8" s="3"/>
    </row>
    <row r="9" spans="1:36" ht="15" x14ac:dyDescent="0.25">
      <c r="A9" s="1">
        <v>1961</v>
      </c>
      <c r="B9" s="18">
        <v>2241.07332516</v>
      </c>
      <c r="C9" s="18">
        <v>2084.57009922</v>
      </c>
      <c r="D9" s="18">
        <f t="shared" ref="D9:D12" si="4">B9*C9</f>
        <v>4671674.4437880768</v>
      </c>
      <c r="E9" s="18"/>
      <c r="F9" s="18">
        <v>3030.723</v>
      </c>
      <c r="G9" s="15"/>
      <c r="H9" s="2"/>
      <c r="I9" s="44"/>
      <c r="K9" s="35"/>
      <c r="L9" s="4"/>
      <c r="M9" s="18">
        <v>2241.07332516</v>
      </c>
      <c r="N9" s="18">
        <v>2084.57009922</v>
      </c>
      <c r="O9" s="18">
        <f t="shared" ref="O9:O62" si="5">M9*N9</f>
        <v>4671674.4437880768</v>
      </c>
      <c r="P9" s="18"/>
      <c r="Q9" s="18">
        <v>3030.723</v>
      </c>
      <c r="R9" s="15"/>
      <c r="S9" s="15"/>
      <c r="T9" s="45"/>
      <c r="U9" s="18"/>
      <c r="V9" s="36"/>
      <c r="W9" s="4"/>
      <c r="X9" s="12">
        <f t="shared" si="0"/>
        <v>0</v>
      </c>
      <c r="Y9" s="12">
        <f t="shared" si="1"/>
        <v>0</v>
      </c>
      <c r="Z9" s="12">
        <f t="shared" si="2"/>
        <v>0</v>
      </c>
      <c r="AA9" s="12"/>
      <c r="AB9" s="12">
        <f t="shared" si="3"/>
        <v>0</v>
      </c>
      <c r="AC9" s="12"/>
      <c r="AD9" s="12"/>
      <c r="AE9" s="48"/>
      <c r="AF9" s="12"/>
      <c r="AG9" s="17"/>
      <c r="AH9" s="4"/>
      <c r="AI9" s="3"/>
      <c r="AJ9" s="3"/>
    </row>
    <row r="10" spans="1:36" ht="15" x14ac:dyDescent="0.25">
      <c r="A10" s="1">
        <v>1962</v>
      </c>
      <c r="B10" s="18">
        <v>2231.8576191100001</v>
      </c>
      <c r="C10" s="18">
        <v>2095.8821303599998</v>
      </c>
      <c r="D10" s="18">
        <f t="shared" si="4"/>
        <v>4677710.5014004642</v>
      </c>
      <c r="E10" s="18"/>
      <c r="F10" s="18">
        <v>3081.9319999999998</v>
      </c>
      <c r="G10" s="15"/>
      <c r="H10" s="2"/>
      <c r="I10" s="44"/>
      <c r="K10" s="35"/>
      <c r="L10" s="4"/>
      <c r="M10" s="18">
        <v>2231.8576191100001</v>
      </c>
      <c r="N10" s="18">
        <v>2095.8821303599998</v>
      </c>
      <c r="O10" s="18">
        <f t="shared" si="5"/>
        <v>4677710.5014004642</v>
      </c>
      <c r="P10" s="18"/>
      <c r="Q10" s="18">
        <v>3081.9319999999998</v>
      </c>
      <c r="R10" s="15"/>
      <c r="S10" s="15"/>
      <c r="T10" s="45"/>
      <c r="U10" s="18"/>
      <c r="V10" s="36"/>
      <c r="W10" s="4"/>
      <c r="X10" s="12">
        <f t="shared" si="0"/>
        <v>0</v>
      </c>
      <c r="Y10" s="12">
        <f t="shared" si="1"/>
        <v>0</v>
      </c>
      <c r="Z10" s="12">
        <f t="shared" si="2"/>
        <v>0</v>
      </c>
      <c r="AA10" s="12"/>
      <c r="AB10" s="12">
        <f t="shared" si="3"/>
        <v>0</v>
      </c>
      <c r="AC10" s="12"/>
      <c r="AD10" s="12"/>
      <c r="AE10" s="48"/>
      <c r="AF10" s="12"/>
      <c r="AG10" s="17"/>
      <c r="AH10" s="4"/>
      <c r="AI10" s="3"/>
      <c r="AJ10" s="3"/>
    </row>
    <row r="11" spans="1:36" ht="15" x14ac:dyDescent="0.25">
      <c r="A11" s="1">
        <v>1963</v>
      </c>
      <c r="B11" s="18">
        <v>2240.4520416</v>
      </c>
      <c r="C11" s="18">
        <v>2078.76109296</v>
      </c>
      <c r="D11" s="18">
        <f t="shared" si="4"/>
        <v>4657364.53472088</v>
      </c>
      <c r="E11" s="18">
        <f>B11/(1-'NAWRUn laskenta'!B12/100)</f>
        <v>2279.1984146490336</v>
      </c>
      <c r="F11" s="18">
        <v>3133.53</v>
      </c>
      <c r="G11" s="15">
        <f>E11/F11*100</f>
        <v>72.735809602877055</v>
      </c>
      <c r="H11" s="2"/>
      <c r="I11" s="44"/>
      <c r="K11" s="35"/>
      <c r="L11" s="4"/>
      <c r="M11" s="18">
        <v>2240.4520416</v>
      </c>
      <c r="N11" s="18">
        <v>2078.76109296</v>
      </c>
      <c r="O11" s="18">
        <f t="shared" si="5"/>
        <v>4657364.53472088</v>
      </c>
      <c r="P11" s="18">
        <f>M8/(1-'NAWRUn laskenta'!Q12/100)</f>
        <v>2237.2738886571719</v>
      </c>
      <c r="Q11" s="18">
        <v>3133.53</v>
      </c>
      <c r="R11" s="15">
        <f>P11/Q11*100</f>
        <v>71.397876792536579</v>
      </c>
      <c r="S11" s="15"/>
      <c r="T11" s="45"/>
      <c r="U11" s="18"/>
      <c r="V11" s="36"/>
      <c r="W11" s="4"/>
      <c r="X11" s="12">
        <f t="shared" si="0"/>
        <v>0</v>
      </c>
      <c r="Y11" s="12">
        <f t="shared" si="1"/>
        <v>0</v>
      </c>
      <c r="Z11" s="12">
        <f t="shared" si="2"/>
        <v>0</v>
      </c>
      <c r="AA11" s="12">
        <f t="shared" ref="AA11:AA42" si="6">(E11-P11)/E11</f>
        <v>1.8394416968001204E-2</v>
      </c>
      <c r="AB11" s="12">
        <f t="shared" si="3"/>
        <v>0</v>
      </c>
      <c r="AC11" s="12">
        <f t="shared" ref="AC11:AC42" si="7">(G11-R11)/G11</f>
        <v>1.8394416968001332E-2</v>
      </c>
      <c r="AD11" s="12"/>
      <c r="AE11" s="48"/>
      <c r="AF11" s="12"/>
      <c r="AG11" s="17"/>
      <c r="AH11" s="4"/>
      <c r="AI11" s="3"/>
      <c r="AJ11" s="3"/>
    </row>
    <row r="12" spans="1:36" ht="15" x14ac:dyDescent="0.25">
      <c r="A12" s="1">
        <v>1964</v>
      </c>
      <c r="B12" s="18">
        <v>2239.52011627</v>
      </c>
      <c r="C12" s="18">
        <v>2135.0275877200002</v>
      </c>
      <c r="D12" s="18">
        <f t="shared" si="4"/>
        <v>4781437.2314903522</v>
      </c>
      <c r="E12" s="18">
        <f>B12/(1-'NAWRUn laskenta'!B13/100)</f>
        <v>2278.2503726042728</v>
      </c>
      <c r="F12" s="18">
        <v>3178.0934999999999</v>
      </c>
      <c r="G12" s="15">
        <f t="shared" ref="G12:G63" si="8">E12/F12*100</f>
        <v>71.686071306721246</v>
      </c>
      <c r="H12" s="2"/>
      <c r="I12" s="44"/>
      <c r="K12" s="35"/>
      <c r="L12" s="4"/>
      <c r="M12" s="18">
        <v>2239.52011627</v>
      </c>
      <c r="N12" s="18">
        <v>2135.0275877200002</v>
      </c>
      <c r="O12" s="18">
        <f t="shared" si="5"/>
        <v>4781437.2314903522</v>
      </c>
      <c r="P12" s="18">
        <f>M9/(1-'NAWRUn laskenta'!Q13/100)</f>
        <v>2279.8304426856562</v>
      </c>
      <c r="Q12" s="18">
        <v>3178.0934999999999</v>
      </c>
      <c r="R12" s="15">
        <f t="shared" ref="R12:R63" si="9">P12/Q12*100</f>
        <v>71.735788852205147</v>
      </c>
      <c r="S12" s="15"/>
      <c r="T12" s="45"/>
      <c r="U12" s="18"/>
      <c r="V12" s="36"/>
      <c r="W12" s="4"/>
      <c r="X12" s="12">
        <f t="shared" si="0"/>
        <v>0</v>
      </c>
      <c r="Y12" s="12">
        <f t="shared" si="1"/>
        <v>0</v>
      </c>
      <c r="Z12" s="12">
        <f t="shared" si="2"/>
        <v>0</v>
      </c>
      <c r="AA12" s="12">
        <f t="shared" si="6"/>
        <v>-6.9354540676633421E-4</v>
      </c>
      <c r="AB12" s="12">
        <f t="shared" si="3"/>
        <v>0</v>
      </c>
      <c r="AC12" s="12">
        <f t="shared" si="7"/>
        <v>-6.9354540676634148E-4</v>
      </c>
      <c r="AD12" s="12"/>
      <c r="AE12" s="48"/>
      <c r="AF12" s="12"/>
      <c r="AG12" s="17"/>
      <c r="AH12" s="4"/>
      <c r="AI12" s="3"/>
      <c r="AJ12" s="3"/>
    </row>
    <row r="13" spans="1:36" ht="15" x14ac:dyDescent="0.25">
      <c r="A13" s="1">
        <v>1965</v>
      </c>
      <c r="B13" s="18">
        <v>2265.6140255300002</v>
      </c>
      <c r="C13" s="18">
        <v>2110.15294339</v>
      </c>
      <c r="D13" s="18">
        <f t="shared" ref="D13:D62" si="10">B13*C13</f>
        <v>4780792.1045577964</v>
      </c>
      <c r="E13" s="18">
        <f>B13/(1-'NAWRUn laskenta'!B14/100)</f>
        <v>2300.115761959391</v>
      </c>
      <c r="F13" s="18">
        <v>3213.6914999999999</v>
      </c>
      <c r="G13" s="15">
        <f t="shared" si="8"/>
        <v>71.572388387603198</v>
      </c>
      <c r="H13" s="15">
        <v>71.372139453887939</v>
      </c>
      <c r="I13" s="45"/>
      <c r="J13" s="18">
        <v>2113.29956054687</v>
      </c>
      <c r="K13" s="36"/>
      <c r="L13" s="4"/>
      <c r="M13" s="18">
        <v>2265.6140255300002</v>
      </c>
      <c r="N13" s="18">
        <v>2110.15294339</v>
      </c>
      <c r="O13" s="18">
        <f t="shared" si="5"/>
        <v>4780792.1045577964</v>
      </c>
      <c r="P13" s="18">
        <f>M10/(1-'NAWRUn laskenta'!Q14/100)</f>
        <v>2265.8452985888325</v>
      </c>
      <c r="Q13" s="18">
        <v>3213.6914999999999</v>
      </c>
      <c r="R13" s="15">
        <f t="shared" si="9"/>
        <v>70.505999054011028</v>
      </c>
      <c r="S13" s="15">
        <v>71.372139453887939</v>
      </c>
      <c r="T13" s="45"/>
      <c r="U13" s="18">
        <v>2113.299560546875</v>
      </c>
      <c r="V13" s="36"/>
      <c r="W13" s="4"/>
      <c r="X13" s="12">
        <f t="shared" si="0"/>
        <v>0</v>
      </c>
      <c r="Y13" s="12">
        <f t="shared" si="1"/>
        <v>0</v>
      </c>
      <c r="Z13" s="12">
        <f t="shared" si="2"/>
        <v>0</v>
      </c>
      <c r="AA13" s="12">
        <f t="shared" si="6"/>
        <v>1.4899451556892334E-2</v>
      </c>
      <c r="AB13" s="12">
        <f t="shared" si="3"/>
        <v>0</v>
      </c>
      <c r="AC13" s="12">
        <f t="shared" si="7"/>
        <v>1.4899451556892231E-2</v>
      </c>
      <c r="AD13" s="12">
        <f t="shared" ref="AD13:AD44" si="11">(H13-S13)/H13</f>
        <v>0</v>
      </c>
      <c r="AE13" s="48"/>
      <c r="AF13" s="12">
        <f t="shared" ref="AF13:AF44" si="12">(J13-U13)/J13</f>
        <v>-2.3670193062722513E-15</v>
      </c>
      <c r="AG13" s="17"/>
      <c r="AH13" s="4"/>
      <c r="AI13" s="3"/>
      <c r="AJ13" s="3"/>
    </row>
    <row r="14" spans="1:36" ht="15" x14ac:dyDescent="0.25">
      <c r="A14" s="1">
        <v>1966</v>
      </c>
      <c r="B14" s="18">
        <v>2269.9630103999998</v>
      </c>
      <c r="C14" s="18">
        <v>2088.8355439000002</v>
      </c>
      <c r="D14" s="18">
        <f t="shared" si="10"/>
        <v>4741579.4194617653</v>
      </c>
      <c r="E14" s="18">
        <f>B14/(1-'NAWRUn laskenta'!B15/100)</f>
        <v>2309.2197460834182</v>
      </c>
      <c r="F14" s="18">
        <v>3247.5810000000001</v>
      </c>
      <c r="G14" s="15">
        <f t="shared" si="8"/>
        <v>71.105839887701578</v>
      </c>
      <c r="H14" s="15">
        <v>70.805591344833374</v>
      </c>
      <c r="I14" s="45"/>
      <c r="J14" s="18">
        <v>2086.913818359375</v>
      </c>
      <c r="K14" s="36"/>
      <c r="L14" s="4"/>
      <c r="M14" s="18">
        <v>2269.9630103999998</v>
      </c>
      <c r="N14" s="18">
        <v>2088.8355439000002</v>
      </c>
      <c r="O14" s="18">
        <f t="shared" si="5"/>
        <v>4741579.4194617653</v>
      </c>
      <c r="P14" s="18">
        <f>M11/(1-'NAWRUn laskenta'!Q15/100)</f>
        <v>2279.1984146490336</v>
      </c>
      <c r="Q14" s="18">
        <v>3247.5810000000001</v>
      </c>
      <c r="R14" s="15">
        <f t="shared" si="9"/>
        <v>70.18141855889148</v>
      </c>
      <c r="S14" s="15">
        <v>70.805591344833374</v>
      </c>
      <c r="T14" s="45"/>
      <c r="U14" s="18">
        <v>2086.913818359375</v>
      </c>
      <c r="V14" s="36"/>
      <c r="W14" s="4"/>
      <c r="X14" s="12">
        <f t="shared" si="0"/>
        <v>0</v>
      </c>
      <c r="Y14" s="12">
        <f t="shared" si="1"/>
        <v>0</v>
      </c>
      <c r="Z14" s="12">
        <f t="shared" si="2"/>
        <v>0</v>
      </c>
      <c r="AA14" s="12">
        <f t="shared" si="6"/>
        <v>1.3000638629261098E-2</v>
      </c>
      <c r="AB14" s="12">
        <f t="shared" si="3"/>
        <v>0</v>
      </c>
      <c r="AC14" s="12">
        <f t="shared" si="7"/>
        <v>1.3000638629260961E-2</v>
      </c>
      <c r="AD14" s="12">
        <f t="shared" si="11"/>
        <v>0</v>
      </c>
      <c r="AE14" s="48"/>
      <c r="AF14" s="12">
        <f t="shared" si="12"/>
        <v>0</v>
      </c>
      <c r="AG14" s="17"/>
      <c r="AH14" s="4"/>
      <c r="AI14" s="3"/>
      <c r="AJ14" s="3"/>
    </row>
    <row r="15" spans="1:36" ht="15" x14ac:dyDescent="0.25">
      <c r="A15" s="1">
        <v>1967</v>
      </c>
      <c r="B15" s="18">
        <v>2228.2334650500002</v>
      </c>
      <c r="C15" s="18">
        <v>2065.5384207500001</v>
      </c>
      <c r="D15" s="18">
        <f t="shared" si="10"/>
        <v>4602501.8324616775</v>
      </c>
      <c r="E15" s="18">
        <f>B15/(1-'NAWRUn laskenta'!B16/100)</f>
        <v>2304.2745243536715</v>
      </c>
      <c r="F15" s="18">
        <v>3286.1</v>
      </c>
      <c r="G15" s="15">
        <f t="shared" si="8"/>
        <v>70.12186252255475</v>
      </c>
      <c r="H15" s="15">
        <v>70.259076356887817</v>
      </c>
      <c r="I15" s="45">
        <f>'NAWRUn laskenta'!O16</f>
        <v>1.5552801700000001</v>
      </c>
      <c r="J15" s="18">
        <v>2060.21337890625</v>
      </c>
      <c r="K15" s="36">
        <f>H15*F15/100*(1-I15/100)*J15</f>
        <v>4682608.4232304236</v>
      </c>
      <c r="L15" s="4"/>
      <c r="M15" s="18">
        <v>2228.2334650500002</v>
      </c>
      <c r="N15" s="18">
        <v>2065.5384207500001</v>
      </c>
      <c r="O15" s="18">
        <f t="shared" si="5"/>
        <v>4602501.8324616775</v>
      </c>
      <c r="P15" s="18">
        <f>M12/(1-'NAWRUn laskenta'!Q16/100)</f>
        <v>2315.9463456773528</v>
      </c>
      <c r="Q15" s="18">
        <v>3286.1</v>
      </c>
      <c r="R15" s="15">
        <f t="shared" si="9"/>
        <v>70.477050171247157</v>
      </c>
      <c r="S15" s="15">
        <v>70.259076356887817</v>
      </c>
      <c r="T15" s="45">
        <f>'NAWRUn laskenta'!AC16</f>
        <v>1.55704898</v>
      </c>
      <c r="U15" s="18">
        <v>2060.21337890625</v>
      </c>
      <c r="V15" s="36">
        <f>Q15*S15/100*(1-T15/100)*U15</f>
        <v>4682524.2882497013</v>
      </c>
      <c r="W15" s="4"/>
      <c r="X15" s="12">
        <f t="shared" si="0"/>
        <v>0</v>
      </c>
      <c r="Y15" s="12">
        <f t="shared" si="1"/>
        <v>0</v>
      </c>
      <c r="Z15" s="12">
        <f t="shared" si="2"/>
        <v>0</v>
      </c>
      <c r="AA15" s="12">
        <f t="shared" si="6"/>
        <v>-5.0652911362439271E-3</v>
      </c>
      <c r="AB15" s="12">
        <f t="shared" si="3"/>
        <v>0</v>
      </c>
      <c r="AC15" s="12">
        <f t="shared" si="7"/>
        <v>-5.0652911362438621E-3</v>
      </c>
      <c r="AD15" s="12">
        <f t="shared" si="11"/>
        <v>0</v>
      </c>
      <c r="AE15" s="48">
        <f t="shared" ref="AE15:AE46" si="13">(I15/100-T15/100)</f>
        <v>-1.7688099999999679E-5</v>
      </c>
      <c r="AF15" s="12">
        <f t="shared" si="12"/>
        <v>0</v>
      </c>
      <c r="AG15" s="17">
        <f t="shared" ref="AG15:AG46" si="14">(K15-V15)/K15</f>
        <v>1.7967545674956893E-5</v>
      </c>
      <c r="AH15" s="4"/>
      <c r="AI15" s="3"/>
      <c r="AJ15" s="3"/>
    </row>
    <row r="16" spans="1:36" ht="15" x14ac:dyDescent="0.25">
      <c r="A16" s="1">
        <v>1968</v>
      </c>
      <c r="B16" s="18">
        <v>2199.1366852900001</v>
      </c>
      <c r="C16" s="18">
        <v>2039.2537572399999</v>
      </c>
      <c r="D16" s="18">
        <f t="shared" si="10"/>
        <v>4484597.748161952</v>
      </c>
      <c r="E16" s="18">
        <f>B16/(1-'NAWRUn laskenta'!B17/100)</f>
        <v>2300.3521812656904</v>
      </c>
      <c r="F16" s="18">
        <v>3322.2555000000002</v>
      </c>
      <c r="G16" s="15">
        <f t="shared" si="8"/>
        <v>69.240676440017651</v>
      </c>
      <c r="H16" s="15">
        <v>69.78263258934021</v>
      </c>
      <c r="I16" s="45">
        <f>'NAWRUn laskenta'!O17</f>
        <v>1.92974336</v>
      </c>
      <c r="J16" s="18">
        <v>2033.07568359375</v>
      </c>
      <c r="K16" s="36">
        <f t="shared" ref="K16:K44" si="15">H16*F16/100*(1-I16/100)*J16</f>
        <v>4622439.5072027706</v>
      </c>
      <c r="L16" s="4"/>
      <c r="M16" s="18">
        <v>2199.1366852900001</v>
      </c>
      <c r="N16" s="18">
        <v>2039.2537572399999</v>
      </c>
      <c r="O16" s="18">
        <f t="shared" si="5"/>
        <v>4484597.748161952</v>
      </c>
      <c r="P16" s="18">
        <f>M13/(1-'NAWRUn laskenta'!Q17/100)</f>
        <v>2369.8891480439333</v>
      </c>
      <c r="Q16" s="18">
        <v>3322.2555000000002</v>
      </c>
      <c r="R16" s="15">
        <f t="shared" si="9"/>
        <v>71.333741430902393</v>
      </c>
      <c r="S16" s="15">
        <v>69.78263258934021</v>
      </c>
      <c r="T16" s="45">
        <f>'NAWRUn laskenta'!AC17</f>
        <v>1.93439688</v>
      </c>
      <c r="U16" s="18">
        <v>2033.07568359375</v>
      </c>
      <c r="V16" s="36">
        <f t="shared" ref="V16:V46" si="16">Q16*S16/100*(1-T16/100)*U16</f>
        <v>4622220.1683794353</v>
      </c>
      <c r="W16" s="4"/>
      <c r="X16" s="12">
        <f t="shared" si="0"/>
        <v>0</v>
      </c>
      <c r="Y16" s="12">
        <f t="shared" si="1"/>
        <v>0</v>
      </c>
      <c r="Z16" s="12">
        <f t="shared" si="2"/>
        <v>0</v>
      </c>
      <c r="AA16" s="12">
        <f t="shared" si="6"/>
        <v>-3.0228835108188766E-2</v>
      </c>
      <c r="AB16" s="12">
        <f t="shared" si="3"/>
        <v>0</v>
      </c>
      <c r="AC16" s="12">
        <f t="shared" si="7"/>
        <v>-3.0228835108188724E-2</v>
      </c>
      <c r="AD16" s="12">
        <f t="shared" si="11"/>
        <v>0</v>
      </c>
      <c r="AE16" s="48">
        <f t="shared" si="13"/>
        <v>-4.6535199999999527E-5</v>
      </c>
      <c r="AF16" s="12">
        <f t="shared" si="12"/>
        <v>0</v>
      </c>
      <c r="AG16" s="17">
        <f t="shared" si="14"/>
        <v>4.745088021021529E-5</v>
      </c>
      <c r="AH16" s="4"/>
      <c r="AI16" s="3"/>
      <c r="AJ16" s="3"/>
    </row>
    <row r="17" spans="1:36" ht="15" x14ac:dyDescent="0.25">
      <c r="A17" s="1">
        <v>1969</v>
      </c>
      <c r="B17" s="18">
        <v>2232.3753554099999</v>
      </c>
      <c r="C17" s="18">
        <v>2009.91681928</v>
      </c>
      <c r="D17" s="18">
        <f t="shared" si="10"/>
        <v>4486888.7737847269</v>
      </c>
      <c r="E17" s="18">
        <f>B17/(1-'NAWRUn laskenta'!B18/100)</f>
        <v>2306.172887820248</v>
      </c>
      <c r="F17" s="18">
        <v>3340.54</v>
      </c>
      <c r="G17" s="15">
        <f t="shared" si="8"/>
        <v>69.035930951889455</v>
      </c>
      <c r="H17" s="15">
        <v>69.412589073181152</v>
      </c>
      <c r="I17" s="45">
        <f>'NAWRUn laskenta'!O18</f>
        <v>2.0383568699999999</v>
      </c>
      <c r="J17" s="18">
        <v>2005.9110107421875</v>
      </c>
      <c r="K17" s="36">
        <f t="shared" si="15"/>
        <v>4556408.3965051519</v>
      </c>
      <c r="L17" s="4"/>
      <c r="M17" s="18">
        <v>2232.3753554099999</v>
      </c>
      <c r="N17" s="18">
        <v>2009.91681928</v>
      </c>
      <c r="O17" s="18">
        <f t="shared" si="5"/>
        <v>4486888.7737847269</v>
      </c>
      <c r="P17" s="18">
        <f>M14/(1-'NAWRUn laskenta'!Q18/100)</f>
        <v>2345.0031099173552</v>
      </c>
      <c r="Q17" s="18">
        <v>3340.54</v>
      </c>
      <c r="R17" s="15">
        <f t="shared" si="9"/>
        <v>70.198324519908624</v>
      </c>
      <c r="S17" s="15">
        <v>69.412589073181152</v>
      </c>
      <c r="T17" s="45">
        <f>'NAWRUn laskenta'!AC18</f>
        <v>2.0683610799999999</v>
      </c>
      <c r="U17" s="18">
        <v>2005.9110107421875</v>
      </c>
      <c r="V17" s="36">
        <f t="shared" si="16"/>
        <v>4555012.8356508585</v>
      </c>
      <c r="W17" s="4"/>
      <c r="X17" s="12">
        <f t="shared" si="0"/>
        <v>0</v>
      </c>
      <c r="Y17" s="12">
        <f t="shared" si="1"/>
        <v>0</v>
      </c>
      <c r="Z17" s="12">
        <f t="shared" si="2"/>
        <v>0</v>
      </c>
      <c r="AA17" s="12">
        <f t="shared" si="6"/>
        <v>-1.6837515652960808E-2</v>
      </c>
      <c r="AB17" s="12">
        <f t="shared" si="3"/>
        <v>0</v>
      </c>
      <c r="AC17" s="12">
        <f t="shared" si="7"/>
        <v>-1.683751565296094E-2</v>
      </c>
      <c r="AD17" s="12">
        <f t="shared" si="11"/>
        <v>0</v>
      </c>
      <c r="AE17" s="48">
        <f t="shared" si="13"/>
        <v>-3.0004209999999823E-4</v>
      </c>
      <c r="AF17" s="12">
        <f t="shared" si="12"/>
        <v>0</v>
      </c>
      <c r="AG17" s="17">
        <f t="shared" si="14"/>
        <v>3.0628528719326971E-4</v>
      </c>
      <c r="AH17" s="4"/>
      <c r="AI17" s="3"/>
      <c r="AJ17" s="3"/>
    </row>
    <row r="18" spans="1:36" ht="15" x14ac:dyDescent="0.25">
      <c r="A18" s="1">
        <v>1970</v>
      </c>
      <c r="B18" s="18">
        <v>2279.8000000000002</v>
      </c>
      <c r="C18" s="18">
        <v>1979.95336789</v>
      </c>
      <c r="D18" s="18">
        <f t="shared" si="10"/>
        <v>4513897.6881156219</v>
      </c>
      <c r="E18" s="18">
        <f>B18/(1-'NAWRUn laskenta'!B19/100)</f>
        <v>2328.7027579162414</v>
      </c>
      <c r="F18" s="18">
        <v>3349.154</v>
      </c>
      <c r="G18" s="15">
        <f t="shared" si="8"/>
        <v>69.531074352395891</v>
      </c>
      <c r="H18" s="15">
        <v>69.13108229637146</v>
      </c>
      <c r="I18" s="45">
        <f>'NAWRUn laskenta'!O19</f>
        <v>2.20321319</v>
      </c>
      <c r="J18" s="18">
        <v>1979.7470703125</v>
      </c>
      <c r="K18" s="36">
        <f t="shared" si="15"/>
        <v>4482731.9306741534</v>
      </c>
      <c r="L18" s="4"/>
      <c r="M18" s="18">
        <v>2279.8000000000002</v>
      </c>
      <c r="N18" s="18">
        <v>1979.95336789</v>
      </c>
      <c r="O18" s="18">
        <f t="shared" si="5"/>
        <v>4513897.6881156219</v>
      </c>
      <c r="P18" s="18">
        <f>M15/(1-'NAWRUn laskenta'!Q19/100)</f>
        <v>2276.0300970888666</v>
      </c>
      <c r="Q18" s="18">
        <v>3349.154</v>
      </c>
      <c r="R18" s="15">
        <f t="shared" si="9"/>
        <v>67.958358949420258</v>
      </c>
      <c r="S18" s="15">
        <v>69.13108229637146</v>
      </c>
      <c r="T18" s="45">
        <f>'NAWRUn laskenta'!AC19</f>
        <v>2.2509509099999998</v>
      </c>
      <c r="U18" s="18">
        <v>1979.7470703125</v>
      </c>
      <c r="V18" s="36">
        <f t="shared" si="16"/>
        <v>4480543.7667403286</v>
      </c>
      <c r="W18" s="4"/>
      <c r="X18" s="12">
        <f t="shared" si="0"/>
        <v>0</v>
      </c>
      <c r="Y18" s="12">
        <f t="shared" si="1"/>
        <v>0</v>
      </c>
      <c r="Z18" s="12">
        <f t="shared" si="2"/>
        <v>0</v>
      </c>
      <c r="AA18" s="12">
        <f t="shared" si="6"/>
        <v>2.2618885406614574E-2</v>
      </c>
      <c r="AB18" s="12">
        <f t="shared" si="3"/>
        <v>0</v>
      </c>
      <c r="AC18" s="12">
        <f t="shared" si="7"/>
        <v>2.2618885406614456E-2</v>
      </c>
      <c r="AD18" s="12">
        <f t="shared" si="11"/>
        <v>0</v>
      </c>
      <c r="AE18" s="48">
        <f t="shared" si="13"/>
        <v>-4.7737719999999678E-4</v>
      </c>
      <c r="AF18" s="12">
        <f t="shared" si="12"/>
        <v>0</v>
      </c>
      <c r="AG18" s="17">
        <f t="shared" si="14"/>
        <v>4.8813178384630106E-4</v>
      </c>
      <c r="AH18" s="4"/>
      <c r="AI18" s="3"/>
      <c r="AJ18" s="3"/>
    </row>
    <row r="19" spans="1:36" ht="15" x14ac:dyDescent="0.25">
      <c r="A19" s="1">
        <v>1971</v>
      </c>
      <c r="B19" s="18">
        <v>2264.5</v>
      </c>
      <c r="C19" s="18">
        <v>1945.1976854300001</v>
      </c>
      <c r="D19" s="18">
        <f t="shared" si="10"/>
        <v>4404900.1586562349</v>
      </c>
      <c r="E19" s="18">
        <f>B19/(1-'NAWRUn laskenta'!B20/100)</f>
        <v>2322.5641025641025</v>
      </c>
      <c r="F19" s="18">
        <v>3377.444</v>
      </c>
      <c r="G19" s="15">
        <f t="shared" si="8"/>
        <v>68.766916714654712</v>
      </c>
      <c r="H19" s="15">
        <v>68.882578611373901</v>
      </c>
      <c r="I19" s="45">
        <f>'NAWRUn laskenta'!O20</f>
        <v>2.5582550099999999</v>
      </c>
      <c r="J19" s="18">
        <v>1956.01220703125</v>
      </c>
      <c r="K19" s="36">
        <f t="shared" si="15"/>
        <v>4434188.6596285468</v>
      </c>
      <c r="L19" s="4"/>
      <c r="M19" s="18">
        <v>2264.5</v>
      </c>
      <c r="N19" s="18">
        <v>1945.1976854300001</v>
      </c>
      <c r="O19" s="18">
        <f t="shared" si="5"/>
        <v>4404900.1586562349</v>
      </c>
      <c r="P19" s="18">
        <f>M16/(1-'NAWRUn laskenta'!Q20/100)</f>
        <v>2255.5248054256413</v>
      </c>
      <c r="Q19" s="18">
        <v>3377.444</v>
      </c>
      <c r="R19" s="15">
        <f t="shared" si="9"/>
        <v>66.782004540286721</v>
      </c>
      <c r="S19" s="15">
        <v>68.882578611373901</v>
      </c>
      <c r="T19" s="45">
        <f>'NAWRUn laskenta'!AC20</f>
        <v>2.6031595099999998</v>
      </c>
      <c r="U19" s="18">
        <v>1956.01220703125</v>
      </c>
      <c r="V19" s="36">
        <f t="shared" si="16"/>
        <v>4432145.2333261259</v>
      </c>
      <c r="W19" s="4"/>
      <c r="X19" s="12">
        <f t="shared" si="0"/>
        <v>0</v>
      </c>
      <c r="Y19" s="12">
        <f t="shared" si="1"/>
        <v>0</v>
      </c>
      <c r="Z19" s="12">
        <f t="shared" si="2"/>
        <v>0</v>
      </c>
      <c r="AA19" s="12">
        <f t="shared" si="6"/>
        <v>2.8864347410024176E-2</v>
      </c>
      <c r="AB19" s="12">
        <f t="shared" si="3"/>
        <v>0</v>
      </c>
      <c r="AC19" s="12">
        <f t="shared" si="7"/>
        <v>2.8864347410024169E-2</v>
      </c>
      <c r="AD19" s="12">
        <f t="shared" si="11"/>
        <v>0</v>
      </c>
      <c r="AE19" s="48">
        <f t="shared" si="13"/>
        <v>-4.4904499999999861E-4</v>
      </c>
      <c r="AF19" s="12">
        <f t="shared" si="12"/>
        <v>0</v>
      </c>
      <c r="AG19" s="17">
        <f t="shared" si="14"/>
        <v>4.6083431700267013E-4</v>
      </c>
      <c r="AH19" s="4"/>
      <c r="AI19" s="3"/>
      <c r="AJ19" s="3"/>
    </row>
    <row r="20" spans="1:36" ht="15" x14ac:dyDescent="0.25">
      <c r="A20" s="1">
        <v>1972</v>
      </c>
      <c r="B20" s="18">
        <v>2285.3000000000002</v>
      </c>
      <c r="C20" s="18">
        <v>1929.2434551199999</v>
      </c>
      <c r="D20" s="18">
        <f t="shared" si="10"/>
        <v>4408900.0679857358</v>
      </c>
      <c r="E20" s="18">
        <f>B20/(1-'NAWRUn laskenta'!B21/100)</f>
        <v>2353.5530381050467</v>
      </c>
      <c r="F20" s="18">
        <v>3421.7395000000001</v>
      </c>
      <c r="G20" s="15">
        <f t="shared" si="8"/>
        <v>68.782355819461031</v>
      </c>
      <c r="H20" s="15">
        <v>68.651539087295532</v>
      </c>
      <c r="I20" s="45">
        <f>'NAWRUn laskenta'!O21</f>
        <v>2.8660646500000002</v>
      </c>
      <c r="J20" s="18">
        <v>1936.1556396484375</v>
      </c>
      <c r="K20" s="36">
        <f t="shared" si="15"/>
        <v>4417824.6209748024</v>
      </c>
      <c r="L20" s="4"/>
      <c r="M20" s="18">
        <v>2285.3000000000002</v>
      </c>
      <c r="N20" s="18">
        <v>1929.2434551199999</v>
      </c>
      <c r="O20" s="18">
        <f t="shared" si="5"/>
        <v>4408900.0679857358</v>
      </c>
      <c r="P20" s="18">
        <f>M17/(1-'NAWRUn laskenta'!Q21/100)</f>
        <v>2299.0477398661174</v>
      </c>
      <c r="Q20" s="18">
        <v>3421.7395000000001</v>
      </c>
      <c r="R20" s="15">
        <f t="shared" si="9"/>
        <v>67.189443844749647</v>
      </c>
      <c r="S20" s="15">
        <v>68.651539087295532</v>
      </c>
      <c r="T20" s="45">
        <f>'NAWRUn laskenta'!AC21</f>
        <v>2.9072618700000001</v>
      </c>
      <c r="U20" s="18">
        <v>1936.1556396484375</v>
      </c>
      <c r="V20" s="36">
        <f t="shared" si="16"/>
        <v>4415950.8979327381</v>
      </c>
      <c r="W20" s="4"/>
      <c r="X20" s="12">
        <f t="shared" si="0"/>
        <v>0</v>
      </c>
      <c r="Y20" s="12">
        <f t="shared" si="1"/>
        <v>0</v>
      </c>
      <c r="Z20" s="12">
        <f t="shared" si="2"/>
        <v>0</v>
      </c>
      <c r="AA20" s="12">
        <f t="shared" si="6"/>
        <v>2.3158729527852074E-2</v>
      </c>
      <c r="AB20" s="12">
        <f t="shared" si="3"/>
        <v>0</v>
      </c>
      <c r="AC20" s="12">
        <f t="shared" si="7"/>
        <v>2.3158729527852136E-2</v>
      </c>
      <c r="AD20" s="12">
        <f t="shared" si="11"/>
        <v>0</v>
      </c>
      <c r="AE20" s="48">
        <f t="shared" si="13"/>
        <v>-4.1197219999999923E-4</v>
      </c>
      <c r="AF20" s="12">
        <f t="shared" si="12"/>
        <v>0</v>
      </c>
      <c r="AG20" s="17">
        <f t="shared" si="14"/>
        <v>4.2412798216759118E-4</v>
      </c>
      <c r="AH20" s="4"/>
      <c r="AI20" s="3"/>
      <c r="AJ20" s="3"/>
    </row>
    <row r="21" spans="1:36" ht="15" x14ac:dyDescent="0.25">
      <c r="A21" s="1">
        <v>1973</v>
      </c>
      <c r="B21" s="18">
        <v>2328.1999999999998</v>
      </c>
      <c r="C21" s="18">
        <v>1913.0225273000001</v>
      </c>
      <c r="D21" s="18">
        <f t="shared" si="10"/>
        <v>4453899.0480598602</v>
      </c>
      <c r="E21" s="18">
        <f>B21/(1-'NAWRUn laskenta'!B22/100)</f>
        <v>2390.349075975359</v>
      </c>
      <c r="F21" s="18">
        <v>3460.9614999999999</v>
      </c>
      <c r="G21" s="15">
        <f t="shared" si="8"/>
        <v>69.066040635683436</v>
      </c>
      <c r="H21" s="15">
        <v>68.41086745262146</v>
      </c>
      <c r="I21" s="45">
        <f>'NAWRUn laskenta'!O22</f>
        <v>3.0465240200000001</v>
      </c>
      <c r="J21" s="18">
        <v>1920.5450439453125</v>
      </c>
      <c r="K21" s="36">
        <f t="shared" si="15"/>
        <v>4408691.8761745822</v>
      </c>
      <c r="L21" s="4"/>
      <c r="M21" s="18">
        <v>2328.1999999999998</v>
      </c>
      <c r="N21" s="18">
        <v>1913.0225273000001</v>
      </c>
      <c r="O21" s="18">
        <f t="shared" si="5"/>
        <v>4453899.0480598602</v>
      </c>
      <c r="P21" s="18">
        <f>M18/(1-'NAWRUn laskenta'!Q22/100)</f>
        <v>2340.657084188912</v>
      </c>
      <c r="Q21" s="18">
        <v>3460.9614999999999</v>
      </c>
      <c r="R21" s="15">
        <f t="shared" si="9"/>
        <v>67.630254892720188</v>
      </c>
      <c r="S21" s="15">
        <v>68.41086745262146</v>
      </c>
      <c r="T21" s="45">
        <f>'NAWRUn laskenta'!AC22</f>
        <v>3.0887103300000001</v>
      </c>
      <c r="U21" s="18">
        <v>1920.5450439453125</v>
      </c>
      <c r="V21" s="36">
        <f t="shared" si="16"/>
        <v>4406773.5700973328</v>
      </c>
      <c r="W21" s="4"/>
      <c r="X21" s="12">
        <f t="shared" si="0"/>
        <v>0</v>
      </c>
      <c r="Y21" s="12">
        <f t="shared" si="1"/>
        <v>0</v>
      </c>
      <c r="Z21" s="12">
        <f t="shared" si="2"/>
        <v>0</v>
      </c>
      <c r="AA21" s="12">
        <f t="shared" si="6"/>
        <v>2.0788592045356678E-2</v>
      </c>
      <c r="AB21" s="12">
        <f t="shared" si="3"/>
        <v>0</v>
      </c>
      <c r="AC21" s="12">
        <f t="shared" si="7"/>
        <v>2.0788592045356644E-2</v>
      </c>
      <c r="AD21" s="12">
        <f t="shared" si="11"/>
        <v>0</v>
      </c>
      <c r="AE21" s="48">
        <f t="shared" si="13"/>
        <v>-4.2186309999999935E-4</v>
      </c>
      <c r="AF21" s="12">
        <f t="shared" si="12"/>
        <v>0</v>
      </c>
      <c r="AG21" s="17">
        <f t="shared" si="14"/>
        <v>4.3511910814548929E-4</v>
      </c>
      <c r="AH21" s="4"/>
      <c r="AI21" s="3"/>
      <c r="AJ21" s="3"/>
    </row>
    <row r="22" spans="1:36" ht="15" x14ac:dyDescent="0.25">
      <c r="A22" s="1">
        <v>1974</v>
      </c>
      <c r="B22" s="18">
        <v>2336</v>
      </c>
      <c r="C22" s="18">
        <v>1907.06293895</v>
      </c>
      <c r="D22" s="18">
        <f t="shared" si="10"/>
        <v>4454899.0253871996</v>
      </c>
      <c r="E22" s="18">
        <f>B22/(1-'NAWRUn laskenta'!B23/100)</f>
        <v>2381.2436289500511</v>
      </c>
      <c r="F22" s="18">
        <v>3494.6559999999999</v>
      </c>
      <c r="G22" s="15">
        <f t="shared" si="8"/>
        <v>68.139571647396806</v>
      </c>
      <c r="H22" s="15">
        <v>68.146538734436035</v>
      </c>
      <c r="I22" s="45">
        <f>'NAWRUn laskenta'!O23</f>
        <v>3.1020605899999998</v>
      </c>
      <c r="J22" s="18">
        <v>1908.8565673828125</v>
      </c>
      <c r="K22" s="36">
        <f t="shared" si="15"/>
        <v>4404900.1908828178</v>
      </c>
      <c r="L22" s="4"/>
      <c r="M22" s="18">
        <v>2336</v>
      </c>
      <c r="N22" s="18">
        <v>1907.06293895</v>
      </c>
      <c r="O22" s="18">
        <f t="shared" si="5"/>
        <v>4454899.0253871996</v>
      </c>
      <c r="P22" s="18">
        <f>M19/(1-'NAWRUn laskenta'!Q23/100)</f>
        <v>2308.3588175331297</v>
      </c>
      <c r="Q22" s="18">
        <v>3494.6559999999999</v>
      </c>
      <c r="R22" s="15">
        <f t="shared" si="9"/>
        <v>66.053964039182389</v>
      </c>
      <c r="S22" s="15">
        <v>68.146538734436035</v>
      </c>
      <c r="T22" s="45">
        <f>'NAWRUn laskenta'!AC23</f>
        <v>3.14971829</v>
      </c>
      <c r="U22" s="18">
        <v>1908.8565673828125</v>
      </c>
      <c r="V22" s="36">
        <f t="shared" si="16"/>
        <v>4402733.7112537846</v>
      </c>
      <c r="W22" s="4"/>
      <c r="X22" s="12">
        <f t="shared" si="0"/>
        <v>0</v>
      </c>
      <c r="Y22" s="12">
        <f t="shared" si="1"/>
        <v>0</v>
      </c>
      <c r="Z22" s="12">
        <f t="shared" si="2"/>
        <v>0</v>
      </c>
      <c r="AA22" s="12">
        <f t="shared" si="6"/>
        <v>3.0607876712328706E-2</v>
      </c>
      <c r="AB22" s="12">
        <f t="shared" si="3"/>
        <v>0</v>
      </c>
      <c r="AC22" s="12">
        <f t="shared" si="7"/>
        <v>3.060787671232881E-2</v>
      </c>
      <c r="AD22" s="12">
        <f t="shared" si="11"/>
        <v>0</v>
      </c>
      <c r="AE22" s="48">
        <f t="shared" si="13"/>
        <v>-4.765770000000058E-4</v>
      </c>
      <c r="AF22" s="12">
        <f t="shared" si="12"/>
        <v>0</v>
      </c>
      <c r="AG22" s="17">
        <f t="shared" si="14"/>
        <v>4.9183398831995908E-4</v>
      </c>
      <c r="AH22" s="4"/>
      <c r="AI22" s="3"/>
      <c r="AJ22" s="3"/>
    </row>
    <row r="23" spans="1:36" ht="15" x14ac:dyDescent="0.25">
      <c r="A23" s="1">
        <v>1975</v>
      </c>
      <c r="B23" s="18">
        <v>2323.1</v>
      </c>
      <c r="C23" s="18">
        <v>1899.1433859900001</v>
      </c>
      <c r="D23" s="18">
        <f t="shared" si="10"/>
        <v>4411899.999993369</v>
      </c>
      <c r="E23" s="18">
        <f>B23/(1-'NAWRUn laskenta'!B24/100)</f>
        <v>2387.5642343268241</v>
      </c>
      <c r="F23" s="18">
        <v>3522.4195</v>
      </c>
      <c r="G23" s="15">
        <f t="shared" si="8"/>
        <v>67.781938929387152</v>
      </c>
      <c r="H23" s="15">
        <v>67.910051345825195</v>
      </c>
      <c r="I23" s="45">
        <f>'NAWRUn laskenta'!O24</f>
        <v>3.2851395499999998</v>
      </c>
      <c r="J23" s="18">
        <v>1900.014404296875</v>
      </c>
      <c r="K23" s="36">
        <f t="shared" si="15"/>
        <v>4395671.5956479684</v>
      </c>
      <c r="L23" s="4"/>
      <c r="M23" s="18">
        <v>2323.1</v>
      </c>
      <c r="N23" s="18">
        <v>1899.1433859900001</v>
      </c>
      <c r="O23" s="18">
        <f t="shared" si="5"/>
        <v>4411899.999993369</v>
      </c>
      <c r="P23" s="18">
        <f>M20/(1-'NAWRUn laskenta'!Q24/100)</f>
        <v>2348.715313463515</v>
      </c>
      <c r="Q23" s="18">
        <v>3522.4195</v>
      </c>
      <c r="R23" s="15">
        <f t="shared" si="9"/>
        <v>66.679034494997396</v>
      </c>
      <c r="S23" s="15">
        <v>67.910051345825195</v>
      </c>
      <c r="T23" s="45">
        <f>'NAWRUn laskenta'!AC24</f>
        <v>3.3202772299999999</v>
      </c>
      <c r="U23" s="18">
        <v>1900.014404296875</v>
      </c>
      <c r="V23" s="36">
        <f t="shared" si="16"/>
        <v>4394074.5949265249</v>
      </c>
      <c r="W23" s="4"/>
      <c r="X23" s="12">
        <f t="shared" si="0"/>
        <v>0</v>
      </c>
      <c r="Y23" s="12">
        <f t="shared" si="1"/>
        <v>0</v>
      </c>
      <c r="Z23" s="12">
        <f t="shared" si="2"/>
        <v>0</v>
      </c>
      <c r="AA23" s="12">
        <f t="shared" si="6"/>
        <v>1.6271361542766028E-2</v>
      </c>
      <c r="AB23" s="12">
        <f t="shared" si="3"/>
        <v>0</v>
      </c>
      <c r="AC23" s="12">
        <f t="shared" si="7"/>
        <v>1.6271361542766191E-2</v>
      </c>
      <c r="AD23" s="12">
        <f t="shared" si="11"/>
        <v>0</v>
      </c>
      <c r="AE23" s="48">
        <f t="shared" si="13"/>
        <v>-3.5137679999999727E-4</v>
      </c>
      <c r="AF23" s="12">
        <f t="shared" si="12"/>
        <v>0</v>
      </c>
      <c r="AG23" s="17">
        <f t="shared" si="14"/>
        <v>3.6331210980924744E-4</v>
      </c>
      <c r="AH23" s="4"/>
      <c r="AI23" s="3"/>
      <c r="AJ23" s="3"/>
    </row>
    <row r="24" spans="1:36" ht="15" x14ac:dyDescent="0.25">
      <c r="A24" s="1">
        <v>1976</v>
      </c>
      <c r="B24" s="18">
        <v>2301.9</v>
      </c>
      <c r="C24" s="18">
        <v>1896.1292845</v>
      </c>
      <c r="D24" s="18">
        <f t="shared" si="10"/>
        <v>4364699.9999905499</v>
      </c>
      <c r="E24" s="18">
        <f>B24/(1-'NAWRUn laskenta'!B25/100)</f>
        <v>2395.3173777315296</v>
      </c>
      <c r="F24" s="18">
        <v>3542.424</v>
      </c>
      <c r="G24" s="15">
        <f t="shared" si="8"/>
        <v>67.618031543698038</v>
      </c>
      <c r="H24" s="15">
        <v>67.752212285995483</v>
      </c>
      <c r="I24" s="45">
        <f>'NAWRUn laskenta'!O25</f>
        <v>3.4550842400000001</v>
      </c>
      <c r="J24" s="18">
        <v>1892.763427734375</v>
      </c>
      <c r="K24" s="36">
        <f t="shared" si="15"/>
        <v>4385809.5206928914</v>
      </c>
      <c r="L24" s="4"/>
      <c r="M24" s="18">
        <v>2301.9</v>
      </c>
      <c r="N24" s="18">
        <v>1896.1292845</v>
      </c>
      <c r="O24" s="18">
        <f t="shared" si="5"/>
        <v>4364699.9999905499</v>
      </c>
      <c r="P24" s="18">
        <f>M21/(1-'NAWRUn laskenta'!Q25/100)</f>
        <v>2422.684703433923</v>
      </c>
      <c r="Q24" s="18">
        <v>3542.424</v>
      </c>
      <c r="R24" s="15">
        <f t="shared" si="9"/>
        <v>68.39059083367556</v>
      </c>
      <c r="S24" s="15">
        <v>67.752212285995483</v>
      </c>
      <c r="T24" s="45">
        <f>'NAWRUn laskenta'!AC25</f>
        <v>3.4739648399999998</v>
      </c>
      <c r="U24" s="18">
        <v>1892.763427734375</v>
      </c>
      <c r="V24" s="36">
        <f t="shared" si="16"/>
        <v>4384951.8192325449</v>
      </c>
      <c r="W24" s="4"/>
      <c r="X24" s="12">
        <f t="shared" si="0"/>
        <v>0</v>
      </c>
      <c r="Y24" s="12">
        <f t="shared" si="1"/>
        <v>0</v>
      </c>
      <c r="Z24" s="12">
        <f t="shared" si="2"/>
        <v>0</v>
      </c>
      <c r="AA24" s="12">
        <f t="shared" si="6"/>
        <v>-1.1425344280811517E-2</v>
      </c>
      <c r="AB24" s="12">
        <f t="shared" si="3"/>
        <v>0</v>
      </c>
      <c r="AC24" s="12">
        <f t="shared" si="7"/>
        <v>-1.1425344280811503E-2</v>
      </c>
      <c r="AD24" s="12">
        <f t="shared" si="11"/>
        <v>0</v>
      </c>
      <c r="AE24" s="48">
        <f t="shared" si="13"/>
        <v>-1.8880599999999276E-4</v>
      </c>
      <c r="AF24" s="12">
        <f t="shared" si="12"/>
        <v>0</v>
      </c>
      <c r="AG24" s="17">
        <f t="shared" si="14"/>
        <v>1.9556286161079693E-4</v>
      </c>
      <c r="AH24" s="4"/>
      <c r="AI24" s="3"/>
      <c r="AJ24" s="3"/>
    </row>
    <row r="25" spans="1:36" ht="15" x14ac:dyDescent="0.25">
      <c r="A25" s="1">
        <v>1977</v>
      </c>
      <c r="B25" s="18">
        <v>2260.1</v>
      </c>
      <c r="C25" s="18">
        <v>1887.8368213799999</v>
      </c>
      <c r="D25" s="18">
        <f t="shared" si="10"/>
        <v>4266700.0000009378</v>
      </c>
      <c r="E25" s="18">
        <f>B25/(1-'NAWRUn laskenta'!B26/100)</f>
        <v>2401.8065887353878</v>
      </c>
      <c r="F25" s="18">
        <v>3560.2624999999998</v>
      </c>
      <c r="G25" s="15">
        <f t="shared" si="8"/>
        <v>67.461502873324307</v>
      </c>
      <c r="H25" s="15">
        <v>67.711001634597778</v>
      </c>
      <c r="I25" s="45">
        <f>'NAWRUn laskenta'!O26</f>
        <v>3.7648417900000002</v>
      </c>
      <c r="J25" s="18">
        <v>1885.7613525390625</v>
      </c>
      <c r="K25" s="36">
        <f t="shared" si="15"/>
        <v>4374835.7633031029</v>
      </c>
      <c r="L25" s="4"/>
      <c r="M25" s="18">
        <v>2260.1</v>
      </c>
      <c r="N25" s="18">
        <v>1887.8368213799999</v>
      </c>
      <c r="O25" s="18">
        <f t="shared" si="5"/>
        <v>4266700.0000009378</v>
      </c>
      <c r="P25" s="18">
        <f>M22/(1-'NAWRUn laskenta'!Q26/100)</f>
        <v>2482.4654622741764</v>
      </c>
      <c r="Q25" s="18">
        <v>3560.2624999999998</v>
      </c>
      <c r="R25" s="15">
        <f t="shared" si="9"/>
        <v>69.727034517094637</v>
      </c>
      <c r="S25" s="15">
        <v>67.711001634597778</v>
      </c>
      <c r="T25" s="45">
        <f>'NAWRUn laskenta'!AC26</f>
        <v>3.75070272</v>
      </c>
      <c r="U25" s="18">
        <v>1885.7613525390625</v>
      </c>
      <c r="V25" s="36">
        <f t="shared" si="16"/>
        <v>4375478.5232906826</v>
      </c>
      <c r="W25" s="4"/>
      <c r="X25" s="12">
        <f t="shared" si="0"/>
        <v>0</v>
      </c>
      <c r="Y25" s="12">
        <f t="shared" si="1"/>
        <v>0</v>
      </c>
      <c r="Z25" s="12">
        <f t="shared" si="2"/>
        <v>0</v>
      </c>
      <c r="AA25" s="12">
        <f t="shared" si="6"/>
        <v>-3.3582584841378736E-2</v>
      </c>
      <c r="AB25" s="12">
        <f t="shared" si="3"/>
        <v>0</v>
      </c>
      <c r="AC25" s="12">
        <f t="shared" si="7"/>
        <v>-3.3582584841378764E-2</v>
      </c>
      <c r="AD25" s="12">
        <f t="shared" si="11"/>
        <v>0</v>
      </c>
      <c r="AE25" s="48">
        <f t="shared" si="13"/>
        <v>1.4139070000000059E-4</v>
      </c>
      <c r="AF25" s="12">
        <f t="shared" si="12"/>
        <v>0</v>
      </c>
      <c r="AG25" s="17">
        <f t="shared" si="14"/>
        <v>-1.4692208401770034E-4</v>
      </c>
      <c r="AH25" s="4"/>
      <c r="AI25" s="3"/>
      <c r="AJ25" s="3"/>
    </row>
    <row r="26" spans="1:36" ht="15" x14ac:dyDescent="0.25">
      <c r="A26" s="1">
        <v>1978</v>
      </c>
      <c r="B26" s="18">
        <v>2239</v>
      </c>
      <c r="C26" s="18">
        <v>1893.2559178199999</v>
      </c>
      <c r="D26" s="18">
        <f t="shared" si="10"/>
        <v>4238999.9999989802</v>
      </c>
      <c r="E26" s="18">
        <f>B26/(1-'NAWRUn laskenta'!B27/100)</f>
        <v>2415.3182308522114</v>
      </c>
      <c r="F26" s="18">
        <v>3579.3705</v>
      </c>
      <c r="G26" s="15">
        <f t="shared" si="8"/>
        <v>67.478855034766909</v>
      </c>
      <c r="H26" s="15">
        <v>67.811000347137451</v>
      </c>
      <c r="I26" s="45">
        <f>'NAWRUn laskenta'!O27</f>
        <v>4.0792194500000001</v>
      </c>
      <c r="J26" s="18">
        <v>1878.0023193359375</v>
      </c>
      <c r="K26" s="36">
        <f t="shared" si="15"/>
        <v>4372357.1958452351</v>
      </c>
      <c r="L26" s="4"/>
      <c r="M26" s="18">
        <v>2239</v>
      </c>
      <c r="N26" s="18">
        <v>1893.2559178199999</v>
      </c>
      <c r="O26" s="18">
        <f t="shared" si="5"/>
        <v>4238999.9999989802</v>
      </c>
      <c r="P26" s="18">
        <f>M23/(1-'NAWRUn laskenta'!Q27/100)</f>
        <v>2506.0409924487594</v>
      </c>
      <c r="Q26" s="18">
        <v>3579.3705</v>
      </c>
      <c r="R26" s="15">
        <f t="shared" si="9"/>
        <v>70.013456065773568</v>
      </c>
      <c r="S26" s="15">
        <v>67.811000347137451</v>
      </c>
      <c r="T26" s="45">
        <f>'NAWRUn laskenta'!AC27</f>
        <v>4.0288290599999996</v>
      </c>
      <c r="U26" s="18">
        <v>1878.0023193359375</v>
      </c>
      <c r="V26" s="36">
        <f t="shared" si="16"/>
        <v>4374654.1411271095</v>
      </c>
      <c r="W26" s="4"/>
      <c r="X26" s="12">
        <f t="shared" si="0"/>
        <v>0</v>
      </c>
      <c r="Y26" s="12">
        <f t="shared" si="1"/>
        <v>0</v>
      </c>
      <c r="Z26" s="12">
        <f t="shared" si="2"/>
        <v>0</v>
      </c>
      <c r="AA26" s="12">
        <f t="shared" si="6"/>
        <v>-3.7561411344350162E-2</v>
      </c>
      <c r="AB26" s="12">
        <f t="shared" si="3"/>
        <v>0</v>
      </c>
      <c r="AC26" s="12">
        <f t="shared" si="7"/>
        <v>-3.7561411344350239E-2</v>
      </c>
      <c r="AD26" s="12">
        <f t="shared" si="11"/>
        <v>0</v>
      </c>
      <c r="AE26" s="48">
        <f t="shared" si="13"/>
        <v>5.0390390000000507E-4</v>
      </c>
      <c r="AF26" s="12">
        <f t="shared" si="12"/>
        <v>0</v>
      </c>
      <c r="AG26" s="17">
        <f t="shared" si="14"/>
        <v>-5.253334023251863E-4</v>
      </c>
      <c r="AH26" s="4"/>
      <c r="AI26" s="3"/>
      <c r="AJ26" s="3"/>
    </row>
    <row r="27" spans="1:36" ht="15" x14ac:dyDescent="0.25">
      <c r="A27" s="1">
        <v>1979</v>
      </c>
      <c r="B27" s="18">
        <v>2288</v>
      </c>
      <c r="C27" s="18">
        <v>1869.1433566400001</v>
      </c>
      <c r="D27" s="18">
        <f t="shared" si="10"/>
        <v>4276599.9999923203</v>
      </c>
      <c r="E27" s="18">
        <f>B27/(1-'NAWRUn laskenta'!B28/100)</f>
        <v>2434.0425531914893</v>
      </c>
      <c r="F27" s="18">
        <v>3597.3674999999998</v>
      </c>
      <c r="G27" s="15">
        <f t="shared" si="8"/>
        <v>67.661770814115869</v>
      </c>
      <c r="H27" s="15">
        <v>68.051820993423462</v>
      </c>
      <c r="I27" s="45">
        <f>'NAWRUn laskenta'!O28</f>
        <v>4.07333473</v>
      </c>
      <c r="J27" s="18">
        <v>1868.688232421875</v>
      </c>
      <c r="K27" s="36">
        <f t="shared" si="15"/>
        <v>4388344.9226022651</v>
      </c>
      <c r="L27" s="4"/>
      <c r="M27" s="18">
        <v>2288</v>
      </c>
      <c r="N27" s="18">
        <v>1869.1433566400001</v>
      </c>
      <c r="O27" s="18">
        <f t="shared" si="5"/>
        <v>4276599.9999923203</v>
      </c>
      <c r="P27" s="18">
        <f>M24/(1-'NAWRUn laskenta'!Q28/100)</f>
        <v>2448.8297872340427</v>
      </c>
      <c r="Q27" s="18">
        <v>3597.3674999999998</v>
      </c>
      <c r="R27" s="15">
        <f t="shared" si="9"/>
        <v>68.072827900792532</v>
      </c>
      <c r="S27" s="15">
        <v>68.051820993423462</v>
      </c>
      <c r="T27" s="45">
        <f>'NAWRUn laskenta'!AC28</f>
        <v>4.0160245000000003</v>
      </c>
      <c r="U27" s="18">
        <v>1868.688232421875</v>
      </c>
      <c r="V27" s="36">
        <f t="shared" si="16"/>
        <v>4390966.6863853149</v>
      </c>
      <c r="W27" s="4"/>
      <c r="X27" s="12">
        <f t="shared" si="0"/>
        <v>0</v>
      </c>
      <c r="Y27" s="12">
        <f t="shared" si="1"/>
        <v>0</v>
      </c>
      <c r="Z27" s="12">
        <f t="shared" si="2"/>
        <v>0</v>
      </c>
      <c r="AA27" s="12">
        <f t="shared" si="6"/>
        <v>-6.075174825174885E-3</v>
      </c>
      <c r="AB27" s="12">
        <f t="shared" si="3"/>
        <v>0</v>
      </c>
      <c r="AC27" s="12">
        <f t="shared" si="7"/>
        <v>-6.0751748251747983E-3</v>
      </c>
      <c r="AD27" s="12">
        <f t="shared" si="11"/>
        <v>0</v>
      </c>
      <c r="AE27" s="48">
        <f t="shared" si="13"/>
        <v>5.7310229999999601E-4</v>
      </c>
      <c r="AF27" s="12">
        <f t="shared" si="12"/>
        <v>0</v>
      </c>
      <c r="AG27" s="17">
        <f t="shared" si="14"/>
        <v>-5.9743794740160891E-4</v>
      </c>
      <c r="AH27" s="4"/>
      <c r="AI27" s="3"/>
      <c r="AJ27" s="3"/>
    </row>
    <row r="28" spans="1:36" ht="15" x14ac:dyDescent="0.25">
      <c r="A28" s="1">
        <v>1980</v>
      </c>
      <c r="B28" s="18">
        <v>2354.6</v>
      </c>
      <c r="C28" s="18">
        <v>1849.18882188</v>
      </c>
      <c r="D28" s="18">
        <f t="shared" si="10"/>
        <v>4354099.9999986477</v>
      </c>
      <c r="E28" s="18">
        <f>B28/(1-'NAWRUn laskenta'!B29/100)</f>
        <v>2470.7240293809023</v>
      </c>
      <c r="F28" s="18">
        <v>3615.55</v>
      </c>
      <c r="G28" s="15">
        <f t="shared" si="8"/>
        <v>68.336049269983874</v>
      </c>
      <c r="H28" s="15">
        <v>68.399876356124878</v>
      </c>
      <c r="I28" s="45">
        <f>'NAWRUn laskenta'!O29</f>
        <v>4.0386667699999999</v>
      </c>
      <c r="J28" s="18">
        <v>1858.546142578125</v>
      </c>
      <c r="K28" s="36">
        <f t="shared" si="15"/>
        <v>4410616.6193152992</v>
      </c>
      <c r="L28" s="4"/>
      <c r="M28" s="18">
        <v>2354.6</v>
      </c>
      <c r="N28" s="18">
        <v>1849.18882188</v>
      </c>
      <c r="O28" s="18">
        <f t="shared" si="5"/>
        <v>4354099.9999986477</v>
      </c>
      <c r="P28" s="18">
        <f>M25/(1-'NAWRUn laskenta'!Q29/100)</f>
        <v>2371.5634837355719</v>
      </c>
      <c r="Q28" s="18">
        <v>3615.55</v>
      </c>
      <c r="R28" s="15">
        <f t="shared" si="9"/>
        <v>65.593436233368976</v>
      </c>
      <c r="S28" s="15">
        <v>68.399876356124878</v>
      </c>
      <c r="T28" s="45">
        <f>'NAWRUn laskenta'!AC29</f>
        <v>3.9810985900000002</v>
      </c>
      <c r="U28" s="18">
        <v>1858.546142578125</v>
      </c>
      <c r="V28" s="36">
        <f t="shared" si="16"/>
        <v>4413262.5930935415</v>
      </c>
      <c r="W28" s="4"/>
      <c r="X28" s="12">
        <f t="shared" si="0"/>
        <v>0</v>
      </c>
      <c r="Y28" s="12">
        <f t="shared" si="1"/>
        <v>0</v>
      </c>
      <c r="Z28" s="12">
        <f t="shared" si="2"/>
        <v>0</v>
      </c>
      <c r="AA28" s="12">
        <f t="shared" si="6"/>
        <v>4.0134205385203355E-2</v>
      </c>
      <c r="AB28" s="12">
        <f t="shared" si="3"/>
        <v>0</v>
      </c>
      <c r="AC28" s="12">
        <f t="shared" si="7"/>
        <v>4.0134205385203202E-2</v>
      </c>
      <c r="AD28" s="12">
        <f t="shared" si="11"/>
        <v>0</v>
      </c>
      <c r="AE28" s="48">
        <f t="shared" si="13"/>
        <v>5.7568179999999136E-4</v>
      </c>
      <c r="AF28" s="12">
        <f t="shared" si="12"/>
        <v>0</v>
      </c>
      <c r="AG28" s="17">
        <f t="shared" si="14"/>
        <v>-5.9991017279869684E-4</v>
      </c>
      <c r="AH28" s="4"/>
      <c r="AI28" s="3"/>
      <c r="AJ28" s="3"/>
    </row>
    <row r="29" spans="1:36" ht="15" x14ac:dyDescent="0.25">
      <c r="A29" s="1">
        <v>1981</v>
      </c>
      <c r="B29" s="18">
        <v>2384.1999999999998</v>
      </c>
      <c r="C29" s="18">
        <v>1854.7940609</v>
      </c>
      <c r="D29" s="18">
        <f t="shared" si="10"/>
        <v>4422199.9999977797</v>
      </c>
      <c r="E29" s="18">
        <f>B29/(1-'NAWRUn laskenta'!B30/100)</f>
        <v>2507.0452155625658</v>
      </c>
      <c r="F29" s="18">
        <v>3636.4050000000002</v>
      </c>
      <c r="G29" s="15">
        <f t="shared" si="8"/>
        <v>68.942959201809643</v>
      </c>
      <c r="H29" s="15">
        <v>68.782573938369751</v>
      </c>
      <c r="I29" s="45">
        <f>'NAWRUn laskenta'!O30</f>
        <v>4.1113907599999999</v>
      </c>
      <c r="J29" s="18">
        <v>1848.348876953125</v>
      </c>
      <c r="K29" s="36">
        <f t="shared" si="15"/>
        <v>4433039.8731489666</v>
      </c>
      <c r="L29" s="4"/>
      <c r="M29" s="18">
        <v>2384.1999999999998</v>
      </c>
      <c r="N29" s="18">
        <v>1854.7940609</v>
      </c>
      <c r="O29" s="18">
        <f t="shared" si="5"/>
        <v>4422199.9999977797</v>
      </c>
      <c r="P29" s="18">
        <f>M26/(1-'NAWRUn laskenta'!Q30/100)</f>
        <v>2354.3638275499475</v>
      </c>
      <c r="Q29" s="18">
        <v>3636.4050000000002</v>
      </c>
      <c r="R29" s="15">
        <f t="shared" si="9"/>
        <v>64.744268791566057</v>
      </c>
      <c r="S29" s="15">
        <v>68.782567977905273</v>
      </c>
      <c r="T29" s="45">
        <f>'NAWRUn laskenta'!AC30</f>
        <v>4.0517424999999996</v>
      </c>
      <c r="U29" s="18">
        <v>1848.348876953125</v>
      </c>
      <c r="V29" s="36">
        <f t="shared" si="16"/>
        <v>4435797.0959130237</v>
      </c>
      <c r="W29" s="4"/>
      <c r="X29" s="12">
        <f t="shared" si="0"/>
        <v>0</v>
      </c>
      <c r="Y29" s="12">
        <f t="shared" si="1"/>
        <v>0</v>
      </c>
      <c r="Z29" s="12">
        <f t="shared" si="2"/>
        <v>0</v>
      </c>
      <c r="AA29" s="12">
        <f t="shared" si="6"/>
        <v>6.0900931129938767E-2</v>
      </c>
      <c r="AB29" s="12">
        <f t="shared" si="3"/>
        <v>0</v>
      </c>
      <c r="AC29" s="12">
        <f t="shared" si="7"/>
        <v>6.0900931129938746E-2</v>
      </c>
      <c r="AD29" s="12">
        <f t="shared" si="11"/>
        <v>8.6656606990016549E-8</v>
      </c>
      <c r="AE29" s="48">
        <f t="shared" si="13"/>
        <v>5.9648260000000342E-4</v>
      </c>
      <c r="AF29" s="12">
        <f t="shared" si="12"/>
        <v>0</v>
      </c>
      <c r="AG29" s="17">
        <f t="shared" si="14"/>
        <v>-6.2197111755246659E-4</v>
      </c>
      <c r="AH29" s="4"/>
      <c r="AI29" s="3"/>
      <c r="AJ29" s="3"/>
    </row>
    <row r="30" spans="1:36" ht="15" x14ac:dyDescent="0.25">
      <c r="A30" s="1">
        <v>1982</v>
      </c>
      <c r="B30" s="18">
        <v>2411</v>
      </c>
      <c r="C30" s="18">
        <v>1840.2737453300001</v>
      </c>
      <c r="D30" s="18">
        <f t="shared" si="10"/>
        <v>4436899.99999063</v>
      </c>
      <c r="E30" s="18">
        <f>B30/(1-'NAWRUn laskenta'!B31/100)</f>
        <v>2548.6257928118393</v>
      </c>
      <c r="F30" s="18">
        <v>3659.2314999999999</v>
      </c>
      <c r="G30" s="15">
        <f t="shared" si="8"/>
        <v>69.649208933948003</v>
      </c>
      <c r="H30" s="15">
        <v>69.120919704437256</v>
      </c>
      <c r="I30" s="45">
        <f>'NAWRUn laskenta'!O31</f>
        <v>4.1059607800000002</v>
      </c>
      <c r="J30" s="18">
        <v>1837.933349609375</v>
      </c>
      <c r="K30" s="36">
        <f t="shared" si="15"/>
        <v>4457801.8937349664</v>
      </c>
      <c r="L30" s="4"/>
      <c r="M30" s="18">
        <v>2411</v>
      </c>
      <c r="N30" s="18">
        <v>1840.2737453300001</v>
      </c>
      <c r="O30" s="18">
        <f t="shared" si="5"/>
        <v>4436899.99999063</v>
      </c>
      <c r="P30" s="18">
        <f>M27/(1-'NAWRUn laskenta'!Q31/100)</f>
        <v>2418.604651162791</v>
      </c>
      <c r="Q30" s="18">
        <v>3659.2314999999999</v>
      </c>
      <c r="R30" s="15">
        <f t="shared" si="9"/>
        <v>66.095972642419341</v>
      </c>
      <c r="S30" s="15">
        <v>69.120913743972778</v>
      </c>
      <c r="T30" s="45">
        <f>'NAWRUn laskenta'!AC31</f>
        <v>4.0615255100000001</v>
      </c>
      <c r="U30" s="18">
        <v>1837.933349609375</v>
      </c>
      <c r="V30" s="36">
        <f t="shared" si="16"/>
        <v>4459867.1602826919</v>
      </c>
      <c r="W30" s="4"/>
      <c r="X30" s="12">
        <f t="shared" si="0"/>
        <v>0</v>
      </c>
      <c r="Y30" s="12">
        <f t="shared" si="1"/>
        <v>0</v>
      </c>
      <c r="Z30" s="12">
        <f t="shared" si="2"/>
        <v>0</v>
      </c>
      <c r="AA30" s="12">
        <f t="shared" si="6"/>
        <v>5.101617586063862E-2</v>
      </c>
      <c r="AB30" s="12">
        <f t="shared" si="3"/>
        <v>0</v>
      </c>
      <c r="AC30" s="12">
        <f t="shared" si="7"/>
        <v>5.1016175860638745E-2</v>
      </c>
      <c r="AD30" s="12">
        <f t="shared" si="11"/>
        <v>8.6232424322855572E-8</v>
      </c>
      <c r="AE30" s="48">
        <f t="shared" si="13"/>
        <v>4.4435270000000443E-4</v>
      </c>
      <c r="AF30" s="12">
        <f t="shared" si="12"/>
        <v>0</v>
      </c>
      <c r="AG30" s="17">
        <f t="shared" si="14"/>
        <v>-4.6329258162595326E-4</v>
      </c>
      <c r="AH30" s="4"/>
      <c r="AI30" s="3"/>
      <c r="AJ30" s="3"/>
    </row>
    <row r="31" spans="1:36" ht="15" x14ac:dyDescent="0.25">
      <c r="A31" s="1">
        <v>1983</v>
      </c>
      <c r="B31" s="18">
        <v>2420</v>
      </c>
      <c r="C31" s="18">
        <v>1822.6446281000001</v>
      </c>
      <c r="D31" s="18">
        <f t="shared" si="10"/>
        <v>4410800.0000020005</v>
      </c>
      <c r="E31" s="18">
        <f>B31/(1-'NAWRUn laskenta'!B32/100)</f>
        <v>2560.8465608465608</v>
      </c>
      <c r="F31" s="18">
        <v>3680.6514999999999</v>
      </c>
      <c r="G31" s="15">
        <f t="shared" si="8"/>
        <v>69.575904180185518</v>
      </c>
      <c r="H31" s="15">
        <v>69.351977109909058</v>
      </c>
      <c r="I31" s="45">
        <f>'NAWRUn laskenta'!O32</f>
        <v>4.0051905400000001</v>
      </c>
      <c r="J31" s="18">
        <v>1827.7808837890625</v>
      </c>
      <c r="K31" s="36">
        <f t="shared" si="15"/>
        <v>4478735.6211916069</v>
      </c>
      <c r="L31" s="4"/>
      <c r="M31" s="18">
        <v>2420</v>
      </c>
      <c r="N31" s="18">
        <v>1822.6446281000001</v>
      </c>
      <c r="O31" s="18">
        <f t="shared" si="5"/>
        <v>4410800.0000020005</v>
      </c>
      <c r="P31" s="18">
        <f>M28/(1-'NAWRUn laskenta'!Q32/100)</f>
        <v>2491.6402116402119</v>
      </c>
      <c r="Q31" s="18">
        <v>3680.6514999999999</v>
      </c>
      <c r="R31" s="15">
        <f t="shared" si="9"/>
        <v>67.695629744902817</v>
      </c>
      <c r="S31" s="15">
        <v>69.35197114944458</v>
      </c>
      <c r="T31" s="45">
        <f>'NAWRUn laskenta'!AC32</f>
        <v>3.9954217399999998</v>
      </c>
      <c r="U31" s="18">
        <v>1827.7808837890625</v>
      </c>
      <c r="V31" s="36">
        <f t="shared" si="16"/>
        <v>4479191.0095419958</v>
      </c>
      <c r="W31" s="4"/>
      <c r="X31" s="12">
        <f t="shared" si="0"/>
        <v>0</v>
      </c>
      <c r="Y31" s="12">
        <f t="shared" si="1"/>
        <v>0</v>
      </c>
      <c r="Z31" s="12">
        <f t="shared" si="2"/>
        <v>0</v>
      </c>
      <c r="AA31" s="12">
        <f t="shared" si="6"/>
        <v>2.7024793388429644E-2</v>
      </c>
      <c r="AB31" s="12">
        <f t="shared" si="3"/>
        <v>0</v>
      </c>
      <c r="AC31" s="12">
        <f t="shared" si="7"/>
        <v>2.7024793388429766E-2</v>
      </c>
      <c r="AD31" s="12">
        <f t="shared" si="11"/>
        <v>8.5945126958571265E-8</v>
      </c>
      <c r="AE31" s="48">
        <f t="shared" si="13"/>
        <v>9.7688000000005493E-5</v>
      </c>
      <c r="AF31" s="12">
        <f t="shared" si="12"/>
        <v>0</v>
      </c>
      <c r="AG31" s="17">
        <f t="shared" si="14"/>
        <v>-1.0167788164013272E-4</v>
      </c>
      <c r="AH31" s="4"/>
      <c r="AI31" s="3"/>
      <c r="AJ31" s="3"/>
    </row>
    <row r="32" spans="1:36" ht="15" x14ac:dyDescent="0.25">
      <c r="A32" s="1">
        <v>1984</v>
      </c>
      <c r="B32" s="18">
        <v>2434.8000000000002</v>
      </c>
      <c r="C32" s="18">
        <v>1813.7013307</v>
      </c>
      <c r="D32" s="18">
        <f t="shared" si="10"/>
        <v>4415999.9999883603</v>
      </c>
      <c r="E32" s="18">
        <f>B32/(1-'NAWRUn laskenta'!B33/100)</f>
        <v>2568.3544303797471</v>
      </c>
      <c r="F32" s="18">
        <v>3696.3649999999998</v>
      </c>
      <c r="G32" s="15">
        <f t="shared" si="8"/>
        <v>69.483247200418447</v>
      </c>
      <c r="H32" s="15">
        <v>69.465631246566772</v>
      </c>
      <c r="I32" s="45">
        <f>'NAWRUn laskenta'!O33</f>
        <v>3.88139594</v>
      </c>
      <c r="J32" s="18">
        <v>1818.607177734375</v>
      </c>
      <c r="K32" s="36">
        <f t="shared" si="15"/>
        <v>4488396.2583500501</v>
      </c>
      <c r="L32" s="4"/>
      <c r="M32" s="18">
        <v>2434.8000000000002</v>
      </c>
      <c r="N32" s="18">
        <v>1813.7013307</v>
      </c>
      <c r="O32" s="18">
        <f t="shared" si="5"/>
        <v>4415999.9999883603</v>
      </c>
      <c r="P32" s="18">
        <f>M29/(1-'NAWRUn laskenta'!Q33/100)</f>
        <v>2514.9789029535864</v>
      </c>
      <c r="Q32" s="18">
        <v>3696.3649999999998</v>
      </c>
      <c r="R32" s="15">
        <f t="shared" si="9"/>
        <v>68.039246745210136</v>
      </c>
      <c r="S32" s="15">
        <v>69.465631246566772</v>
      </c>
      <c r="T32" s="45">
        <f>'NAWRUn laskenta'!AC33</f>
        <v>3.9190794900000001</v>
      </c>
      <c r="U32" s="18">
        <v>1818.607177734375</v>
      </c>
      <c r="V32" s="36">
        <f t="shared" si="16"/>
        <v>4486636.570863164</v>
      </c>
      <c r="W32" s="4"/>
      <c r="X32" s="12">
        <f t="shared" si="0"/>
        <v>0</v>
      </c>
      <c r="Y32" s="12">
        <f t="shared" si="1"/>
        <v>0</v>
      </c>
      <c r="Z32" s="12">
        <f t="shared" si="2"/>
        <v>0</v>
      </c>
      <c r="AA32" s="12">
        <f t="shared" si="6"/>
        <v>2.0781994414325756E-2</v>
      </c>
      <c r="AB32" s="12">
        <f t="shared" si="3"/>
        <v>0</v>
      </c>
      <c r="AC32" s="12">
        <f t="shared" si="7"/>
        <v>2.0781994414325742E-2</v>
      </c>
      <c r="AD32" s="12">
        <f t="shared" si="11"/>
        <v>0</v>
      </c>
      <c r="AE32" s="48">
        <f t="shared" si="13"/>
        <v>-3.7683549999999871E-4</v>
      </c>
      <c r="AF32" s="12">
        <f t="shared" si="12"/>
        <v>0</v>
      </c>
      <c r="AG32" s="17">
        <f t="shared" si="14"/>
        <v>3.9205261425222601E-4</v>
      </c>
      <c r="AH32" s="4"/>
      <c r="AI32" s="3"/>
      <c r="AJ32" s="3"/>
    </row>
    <row r="33" spans="1:36" ht="15" x14ac:dyDescent="0.25">
      <c r="A33" s="1">
        <v>1985</v>
      </c>
      <c r="B33" s="18">
        <v>2438.6999999999998</v>
      </c>
      <c r="C33" s="18">
        <v>1813.3021691900001</v>
      </c>
      <c r="D33" s="18">
        <f t="shared" si="10"/>
        <v>4422100.0000036526</v>
      </c>
      <c r="E33" s="18">
        <f>B33/(1-'NAWRUn laskenta'!B34/100)</f>
        <v>2564.3533123028392</v>
      </c>
      <c r="F33" s="18">
        <v>3706.3544999999999</v>
      </c>
      <c r="G33" s="15">
        <f t="shared" si="8"/>
        <v>69.188020528064413</v>
      </c>
      <c r="H33" s="15">
        <v>69.474166631698608</v>
      </c>
      <c r="I33" s="45">
        <f>'NAWRUn laskenta'!O34</f>
        <v>3.8680254999999999</v>
      </c>
      <c r="J33" s="18">
        <v>1810.614013671875</v>
      </c>
      <c r="K33" s="36">
        <f t="shared" si="15"/>
        <v>4481919.3943858277</v>
      </c>
      <c r="L33" s="4"/>
      <c r="M33" s="18">
        <v>2438.6999999999998</v>
      </c>
      <c r="N33" s="18">
        <v>1813.3021691900001</v>
      </c>
      <c r="O33" s="18">
        <f t="shared" si="5"/>
        <v>4422100.0000036526</v>
      </c>
      <c r="P33" s="18">
        <f>M30/(1-'NAWRUn laskenta'!Q34/100)</f>
        <v>2535.2260778128289</v>
      </c>
      <c r="Q33" s="18">
        <v>3706.3544999999999</v>
      </c>
      <c r="R33" s="15">
        <f t="shared" si="9"/>
        <v>68.402147657835457</v>
      </c>
      <c r="S33" s="15">
        <v>69.474166631698608</v>
      </c>
      <c r="T33" s="45">
        <f>'NAWRUn laskenta'!AC34</f>
        <v>3.9527646000000001</v>
      </c>
      <c r="U33" s="18">
        <v>1810.6141357421875</v>
      </c>
      <c r="V33" s="36">
        <f t="shared" si="16"/>
        <v>4477968.9419443421</v>
      </c>
      <c r="W33" s="4"/>
      <c r="X33" s="12">
        <f t="shared" si="0"/>
        <v>0</v>
      </c>
      <c r="Y33" s="12">
        <f t="shared" si="1"/>
        <v>0</v>
      </c>
      <c r="Z33" s="12">
        <f t="shared" si="2"/>
        <v>0</v>
      </c>
      <c r="AA33" s="12">
        <f t="shared" si="6"/>
        <v>1.1358510681920621E-2</v>
      </c>
      <c r="AB33" s="12">
        <f t="shared" si="3"/>
        <v>0</v>
      </c>
      <c r="AC33" s="12">
        <f t="shared" si="7"/>
        <v>1.1358510681920534E-2</v>
      </c>
      <c r="AD33" s="12">
        <f t="shared" si="11"/>
        <v>0</v>
      </c>
      <c r="AE33" s="48">
        <f t="shared" si="13"/>
        <v>-8.4739100000000289E-4</v>
      </c>
      <c r="AF33" s="12">
        <f t="shared" si="12"/>
        <v>-6.7419290681642733E-8</v>
      </c>
      <c r="AG33" s="17">
        <f t="shared" si="14"/>
        <v>8.814197877886963E-4</v>
      </c>
      <c r="AH33" s="4"/>
      <c r="AI33" s="3"/>
      <c r="AJ33" s="3"/>
    </row>
    <row r="34" spans="1:36" ht="15" x14ac:dyDescent="0.25">
      <c r="A34" s="1">
        <v>1986</v>
      </c>
      <c r="B34" s="18">
        <v>2430.9</v>
      </c>
      <c r="C34" s="18">
        <v>1792.5871076599999</v>
      </c>
      <c r="D34" s="18">
        <f t="shared" si="10"/>
        <v>4357600.0000106944</v>
      </c>
      <c r="E34" s="18">
        <f>B34/(1-'NAWRUn laskenta'!B35/100)</f>
        <v>2564.2405063291139</v>
      </c>
      <c r="F34" s="18">
        <v>3713.3850000000002</v>
      </c>
      <c r="G34" s="15">
        <f t="shared" si="8"/>
        <v>69.053989993741922</v>
      </c>
      <c r="H34" s="15">
        <v>69.391614198684692</v>
      </c>
      <c r="I34" s="45">
        <f>'NAWRUn laskenta'!O35</f>
        <v>4.13087114</v>
      </c>
      <c r="J34" s="18">
        <v>1803.5128173828125</v>
      </c>
      <c r="K34" s="36">
        <f t="shared" si="15"/>
        <v>4455279.7946020076</v>
      </c>
      <c r="L34" s="4"/>
      <c r="M34" s="18">
        <v>2430.9</v>
      </c>
      <c r="N34" s="18">
        <v>1792.5871076599999</v>
      </c>
      <c r="O34" s="18">
        <f t="shared" si="5"/>
        <v>4357600.0000106944</v>
      </c>
      <c r="P34" s="18">
        <f>M31/(1-'NAWRUn laskenta'!Q35/100)</f>
        <v>2552.7426160337554</v>
      </c>
      <c r="Q34" s="18">
        <v>3713.3850000000002</v>
      </c>
      <c r="R34" s="15">
        <f t="shared" si="9"/>
        <v>68.744356322701677</v>
      </c>
      <c r="S34" s="15">
        <v>69.39162015914917</v>
      </c>
      <c r="T34" s="45">
        <f>'NAWRUn laskenta'!AC35</f>
        <v>4.24471548</v>
      </c>
      <c r="U34" s="18">
        <v>1803.5128173828125</v>
      </c>
      <c r="V34" s="36">
        <f t="shared" si="16"/>
        <v>4449989.5437246924</v>
      </c>
      <c r="W34" s="4"/>
      <c r="X34" s="12">
        <f t="shared" si="0"/>
        <v>0</v>
      </c>
      <c r="Y34" s="12">
        <f t="shared" si="1"/>
        <v>0</v>
      </c>
      <c r="Z34" s="12">
        <f t="shared" si="2"/>
        <v>0</v>
      </c>
      <c r="AA34" s="12">
        <f t="shared" si="6"/>
        <v>4.4839359907852478E-3</v>
      </c>
      <c r="AB34" s="12">
        <f t="shared" si="3"/>
        <v>0</v>
      </c>
      <c r="AC34" s="12">
        <f t="shared" si="7"/>
        <v>4.4839359907849824E-3</v>
      </c>
      <c r="AD34" s="12">
        <f t="shared" si="11"/>
        <v>-8.5896034360475247E-8</v>
      </c>
      <c r="AE34" s="48">
        <f t="shared" si="13"/>
        <v>-1.1384433999999943E-3</v>
      </c>
      <c r="AF34" s="12">
        <f t="shared" si="12"/>
        <v>0</v>
      </c>
      <c r="AG34" s="17">
        <f t="shared" si="14"/>
        <v>1.1874115928083389E-3</v>
      </c>
      <c r="AH34" s="4"/>
      <c r="AI34" s="3"/>
      <c r="AJ34" s="3"/>
    </row>
    <row r="35" spans="1:36" ht="15" x14ac:dyDescent="0.25">
      <c r="A35" s="1">
        <v>1987</v>
      </c>
      <c r="B35" s="18">
        <v>2444.6</v>
      </c>
      <c r="C35" s="18">
        <v>1798.1264828599999</v>
      </c>
      <c r="D35" s="18">
        <f t="shared" si="10"/>
        <v>4395699.9999995558</v>
      </c>
      <c r="E35" s="18">
        <f>B35/(1-'NAWRUn laskenta'!B36/100)</f>
        <v>2567.8571428571427</v>
      </c>
      <c r="F35" s="18">
        <v>3717.6</v>
      </c>
      <c r="G35" s="15">
        <f t="shared" si="8"/>
        <v>69.072981032309627</v>
      </c>
      <c r="H35" s="15">
        <v>69.203418493270874</v>
      </c>
      <c r="I35" s="45">
        <f>'NAWRUn laskenta'!O36</f>
        <v>4.5407365400000002</v>
      </c>
      <c r="J35" s="18">
        <v>1797.2835693359375</v>
      </c>
      <c r="K35" s="36">
        <f t="shared" si="15"/>
        <v>4413924.4034080235</v>
      </c>
      <c r="L35" s="4"/>
      <c r="M35" s="18">
        <v>2444.6</v>
      </c>
      <c r="N35" s="18">
        <v>1798.1264828599999</v>
      </c>
      <c r="O35" s="18">
        <f t="shared" si="5"/>
        <v>4395699.9999995558</v>
      </c>
      <c r="P35" s="18">
        <f>M32/(1-'NAWRUn laskenta'!Q36/100)</f>
        <v>2557.5630252100846</v>
      </c>
      <c r="Q35" s="18">
        <v>3717.6</v>
      </c>
      <c r="R35" s="15">
        <f t="shared" si="9"/>
        <v>68.796078793040792</v>
      </c>
      <c r="S35" s="15">
        <v>69.203430414199829</v>
      </c>
      <c r="T35" s="45">
        <f>'NAWRUn laskenta'!AC36</f>
        <v>4.6744159500000002</v>
      </c>
      <c r="U35" s="18">
        <v>1797.2835693359375</v>
      </c>
      <c r="V35" s="36">
        <f t="shared" si="16"/>
        <v>4407743.9835214727</v>
      </c>
      <c r="W35" s="4"/>
      <c r="X35" s="12">
        <f t="shared" si="0"/>
        <v>0</v>
      </c>
      <c r="Y35" s="12">
        <f t="shared" si="1"/>
        <v>0</v>
      </c>
      <c r="Z35" s="12">
        <f t="shared" si="2"/>
        <v>0</v>
      </c>
      <c r="AA35" s="12">
        <f t="shared" si="6"/>
        <v>4.0088358013578148E-3</v>
      </c>
      <c r="AB35" s="12">
        <f t="shared" si="3"/>
        <v>0</v>
      </c>
      <c r="AC35" s="12">
        <f t="shared" si="7"/>
        <v>4.008835801357866E-3</v>
      </c>
      <c r="AD35" s="12">
        <f t="shared" si="11"/>
        <v>-1.7225924982647033E-7</v>
      </c>
      <c r="AE35" s="48">
        <f t="shared" si="13"/>
        <v>-1.3367940999999967E-3</v>
      </c>
      <c r="AF35" s="12">
        <f t="shared" si="12"/>
        <v>0</v>
      </c>
      <c r="AG35" s="17">
        <f t="shared" si="14"/>
        <v>1.4002097276017954E-3</v>
      </c>
      <c r="AH35" s="4"/>
      <c r="AI35" s="3"/>
      <c r="AJ35" s="3"/>
    </row>
    <row r="36" spans="1:36" ht="15" x14ac:dyDescent="0.25">
      <c r="A36" s="1">
        <v>1988</v>
      </c>
      <c r="B36" s="18">
        <v>2469.3000000000002</v>
      </c>
      <c r="C36" s="18">
        <v>1806.17988904</v>
      </c>
      <c r="D36" s="18">
        <f t="shared" si="10"/>
        <v>4460000.0000064727</v>
      </c>
      <c r="E36" s="18">
        <f>B36/(1-'NAWRUn laskenta'!B37/100)</f>
        <v>2577.5574112734867</v>
      </c>
      <c r="F36" s="18">
        <v>3720.2925</v>
      </c>
      <c r="G36" s="15">
        <f t="shared" si="8"/>
        <v>69.283730009763659</v>
      </c>
      <c r="H36" s="15">
        <v>68.861228227615356</v>
      </c>
      <c r="I36" s="45">
        <f>'NAWRUn laskenta'!O37</f>
        <v>5.17580828</v>
      </c>
      <c r="J36" s="18">
        <v>1790.8138427734375</v>
      </c>
      <c r="K36" s="36">
        <f t="shared" si="15"/>
        <v>4350322.4009319292</v>
      </c>
      <c r="L36" s="4"/>
      <c r="M36" s="18">
        <v>2469.3000000000002</v>
      </c>
      <c r="N36" s="18">
        <v>1806.17988904</v>
      </c>
      <c r="O36" s="18">
        <f t="shared" si="5"/>
        <v>4460000.0000064727</v>
      </c>
      <c r="P36" s="18">
        <f>M33/(1-'NAWRUn laskenta'!Q37/100)</f>
        <v>2545.6158663883089</v>
      </c>
      <c r="Q36" s="18">
        <v>3720.2925</v>
      </c>
      <c r="R36" s="15">
        <f t="shared" si="9"/>
        <v>68.425153839068003</v>
      </c>
      <c r="S36" s="15">
        <v>68.861246109008789</v>
      </c>
      <c r="T36" s="45">
        <f>'NAWRUn laskenta'!AC37</f>
        <v>5.3095495399999999</v>
      </c>
      <c r="U36" s="18">
        <v>1790.8138427734375</v>
      </c>
      <c r="V36" s="36">
        <f t="shared" si="16"/>
        <v>4344187.7783143213</v>
      </c>
      <c r="W36" s="4"/>
      <c r="X36" s="12">
        <f t="shared" si="0"/>
        <v>0</v>
      </c>
      <c r="Y36" s="12">
        <f t="shared" si="1"/>
        <v>0</v>
      </c>
      <c r="Z36" s="12">
        <f t="shared" si="2"/>
        <v>0</v>
      </c>
      <c r="AA36" s="12">
        <f t="shared" si="6"/>
        <v>1.2392175920301431E-2</v>
      </c>
      <c r="AB36" s="12">
        <f t="shared" si="3"/>
        <v>0</v>
      </c>
      <c r="AC36" s="12">
        <f t="shared" si="7"/>
        <v>1.2392175920301391E-2</v>
      </c>
      <c r="AD36" s="12">
        <f t="shared" si="11"/>
        <v>-2.5967287968654367E-7</v>
      </c>
      <c r="AE36" s="48">
        <f t="shared" si="13"/>
        <v>-1.3374125999999972E-3</v>
      </c>
      <c r="AF36" s="12">
        <f t="shared" si="12"/>
        <v>0</v>
      </c>
      <c r="AG36" s="17">
        <f t="shared" si="14"/>
        <v>1.4101535592612108E-3</v>
      </c>
      <c r="AH36" s="4"/>
      <c r="AI36" s="3"/>
      <c r="AJ36" s="3"/>
    </row>
    <row r="37" spans="1:36" ht="15" x14ac:dyDescent="0.25">
      <c r="A37" s="1">
        <v>1989</v>
      </c>
      <c r="B37" s="18">
        <v>2492.6999999999998</v>
      </c>
      <c r="C37" s="18">
        <v>1802.1422553899999</v>
      </c>
      <c r="D37" s="18">
        <f t="shared" si="10"/>
        <v>4492200.0000106525</v>
      </c>
      <c r="E37" s="18">
        <f>B37/(1-'NAWRUn laskenta'!B38/100)</f>
        <v>2572.4458204334364</v>
      </c>
      <c r="F37" s="18">
        <v>3727.2640000000001</v>
      </c>
      <c r="G37" s="15">
        <f t="shared" si="8"/>
        <v>69.017000685581607</v>
      </c>
      <c r="H37" s="15">
        <v>68.30366849899292</v>
      </c>
      <c r="I37" s="45">
        <f>'NAWRUn laskenta'!O38</f>
        <v>5.9036399299999998</v>
      </c>
      <c r="J37" s="18">
        <v>1783.0755615234375</v>
      </c>
      <c r="K37" s="36">
        <f t="shared" si="15"/>
        <v>4271464.0543103563</v>
      </c>
      <c r="L37" s="4"/>
      <c r="M37" s="18">
        <v>2492.6999999999998</v>
      </c>
      <c r="N37" s="18">
        <v>1802.1422553899999</v>
      </c>
      <c r="O37" s="18">
        <f t="shared" si="5"/>
        <v>4492200.0000106525</v>
      </c>
      <c r="P37" s="18">
        <f>M34/(1-'NAWRUn laskenta'!Q38/100)</f>
        <v>2508.6687306501549</v>
      </c>
      <c r="Q37" s="18">
        <v>3727.2640000000001</v>
      </c>
      <c r="R37" s="15">
        <f t="shared" si="9"/>
        <v>67.3059040263892</v>
      </c>
      <c r="S37" s="15">
        <v>68.30369234085083</v>
      </c>
      <c r="T37" s="45">
        <f>'NAWRUn laskenta'!AC38</f>
        <v>6.0282251899999997</v>
      </c>
      <c r="U37" s="18">
        <v>1783.075439453125</v>
      </c>
      <c r="V37" s="36">
        <f t="shared" si="16"/>
        <v>4265809.7566425335</v>
      </c>
      <c r="W37" s="4"/>
      <c r="X37" s="12">
        <f t="shared" si="0"/>
        <v>0</v>
      </c>
      <c r="Y37" s="12">
        <f t="shared" si="1"/>
        <v>0</v>
      </c>
      <c r="Z37" s="12">
        <f t="shared" si="2"/>
        <v>0</v>
      </c>
      <c r="AA37" s="12">
        <f t="shared" si="6"/>
        <v>2.4792393789866342E-2</v>
      </c>
      <c r="AB37" s="12">
        <f t="shared" si="3"/>
        <v>0</v>
      </c>
      <c r="AC37" s="12">
        <f t="shared" si="7"/>
        <v>2.4792393789866231E-2</v>
      </c>
      <c r="AD37" s="12">
        <f t="shared" si="11"/>
        <v>-3.4905677006949896E-7</v>
      </c>
      <c r="AE37" s="48">
        <f t="shared" si="13"/>
        <v>-1.2458525999999998E-3</v>
      </c>
      <c r="AF37" s="12">
        <f t="shared" si="12"/>
        <v>6.8460538147752217E-8</v>
      </c>
      <c r="AG37" s="17">
        <f t="shared" si="14"/>
        <v>1.3237376215578872E-3</v>
      </c>
      <c r="AH37" s="4"/>
      <c r="AI37" s="3"/>
      <c r="AJ37" s="3"/>
    </row>
    <row r="38" spans="1:36" ht="15" x14ac:dyDescent="0.25">
      <c r="A38" s="1">
        <v>1990</v>
      </c>
      <c r="B38" s="18">
        <v>2480.5</v>
      </c>
      <c r="C38" s="18">
        <v>1769.11912921</v>
      </c>
      <c r="D38" s="18">
        <f t="shared" si="10"/>
        <v>4388300.0000054054</v>
      </c>
      <c r="E38" s="18">
        <f>B38/(1-'NAWRUn laskenta'!B39/100)</f>
        <v>2562.5</v>
      </c>
      <c r="F38" s="18">
        <v>3742.085</v>
      </c>
      <c r="G38" s="15">
        <f t="shared" si="8"/>
        <v>68.477867285216661</v>
      </c>
      <c r="H38" s="15">
        <v>67.511612176895142</v>
      </c>
      <c r="I38" s="45">
        <f>'NAWRUn laskenta'!O39</f>
        <v>6.8151165799999998</v>
      </c>
      <c r="J38" s="18">
        <v>1774.5771484375</v>
      </c>
      <c r="K38" s="36">
        <f t="shared" si="15"/>
        <v>4177654.0956760095</v>
      </c>
      <c r="L38" s="4"/>
      <c r="M38" s="18">
        <v>2480.5</v>
      </c>
      <c r="N38" s="18">
        <v>1769.11912921</v>
      </c>
      <c r="O38" s="18">
        <f t="shared" si="5"/>
        <v>4388300.0000054054</v>
      </c>
      <c r="P38" s="18">
        <f>M35/(1-'NAWRUn laskenta'!Q39/100)</f>
        <v>2525.413223140496</v>
      </c>
      <c r="Q38" s="18">
        <v>3742.085</v>
      </c>
      <c r="R38" s="15">
        <f t="shared" si="9"/>
        <v>67.486794745188732</v>
      </c>
      <c r="S38" s="15">
        <v>67.511636018753052</v>
      </c>
      <c r="T38" s="45">
        <f>'NAWRUn laskenta'!AC39</f>
        <v>6.9130111400000001</v>
      </c>
      <c r="U38" s="18">
        <v>1774.5767822265625</v>
      </c>
      <c r="V38" s="36">
        <f t="shared" si="16"/>
        <v>4173265.9104753695</v>
      </c>
      <c r="W38" s="4"/>
      <c r="X38" s="12">
        <f t="shared" si="0"/>
        <v>0</v>
      </c>
      <c r="Y38" s="12">
        <f t="shared" si="1"/>
        <v>0</v>
      </c>
      <c r="Z38" s="12">
        <f t="shared" si="2"/>
        <v>0</v>
      </c>
      <c r="AA38" s="12">
        <f t="shared" si="6"/>
        <v>1.4472888530538136E-2</v>
      </c>
      <c r="AB38" s="12">
        <f t="shared" si="3"/>
        <v>0</v>
      </c>
      <c r="AC38" s="12">
        <f t="shared" si="7"/>
        <v>1.4472888530538196E-2</v>
      </c>
      <c r="AD38" s="12">
        <f t="shared" si="11"/>
        <v>-3.5315195625436088E-7</v>
      </c>
      <c r="AE38" s="48">
        <f t="shared" si="13"/>
        <v>-9.7894560000000297E-4</v>
      </c>
      <c r="AF38" s="12">
        <f t="shared" si="12"/>
        <v>2.0636518272673892E-7</v>
      </c>
      <c r="AG38" s="17">
        <f t="shared" si="14"/>
        <v>1.0503945755542319E-3</v>
      </c>
      <c r="AH38" s="4"/>
      <c r="AI38" s="3"/>
      <c r="AJ38" s="3"/>
    </row>
    <row r="39" spans="1:36" ht="15" x14ac:dyDescent="0.25">
      <c r="A39" s="1">
        <v>1991</v>
      </c>
      <c r="B39" s="18">
        <v>2340.6999999999998</v>
      </c>
      <c r="C39" s="18">
        <v>1747.4259836799999</v>
      </c>
      <c r="D39" s="18">
        <f t="shared" si="10"/>
        <v>4090199.9999997756</v>
      </c>
      <c r="E39" s="18">
        <f>B39/(1-'NAWRUn laskenta'!B40/100)</f>
        <v>2506.1027837259098</v>
      </c>
      <c r="F39" s="18">
        <v>3764.1975000000002</v>
      </c>
      <c r="G39" s="15">
        <f t="shared" si="8"/>
        <v>66.577345735071276</v>
      </c>
      <c r="H39" s="15">
        <v>66.537261009216309</v>
      </c>
      <c r="I39" s="45">
        <f>'NAWRUn laskenta'!O40</f>
        <v>8.0972480600000001</v>
      </c>
      <c r="J39" s="18">
        <v>1767.7337646484375</v>
      </c>
      <c r="K39" s="36">
        <f t="shared" si="15"/>
        <v>4068953.1983129964</v>
      </c>
      <c r="L39" s="4"/>
      <c r="M39" s="18">
        <v>2340.6999999999998</v>
      </c>
      <c r="N39" s="18">
        <v>1747.4259836799999</v>
      </c>
      <c r="O39" s="18">
        <f t="shared" si="5"/>
        <v>4090199.9999997756</v>
      </c>
      <c r="P39" s="18">
        <f>M36/(1-'NAWRUn laskenta'!Q40/100)</f>
        <v>2643.7901498929341</v>
      </c>
      <c r="Q39" s="18">
        <v>3764.1975000000002</v>
      </c>
      <c r="R39" s="15">
        <f t="shared" si="9"/>
        <v>70.235160346738823</v>
      </c>
      <c r="S39" s="15">
        <v>66.537278890609741</v>
      </c>
      <c r="T39" s="45">
        <f>'NAWRUn laskenta'!AC40</f>
        <v>8.1337678199999992</v>
      </c>
      <c r="U39" s="18">
        <v>1767.7330322265625</v>
      </c>
      <c r="V39" s="36">
        <f t="shared" si="16"/>
        <v>4067335.7101424155</v>
      </c>
      <c r="W39" s="4"/>
      <c r="X39" s="12">
        <f t="shared" si="0"/>
        <v>0</v>
      </c>
      <c r="Y39" s="12">
        <f t="shared" si="1"/>
        <v>0</v>
      </c>
      <c r="Z39" s="12">
        <f t="shared" si="2"/>
        <v>0</v>
      </c>
      <c r="AA39" s="12">
        <f t="shared" si="6"/>
        <v>-5.4940829666339418E-2</v>
      </c>
      <c r="AB39" s="12">
        <f t="shared" si="3"/>
        <v>0</v>
      </c>
      <c r="AC39" s="12">
        <f t="shared" si="7"/>
        <v>-5.4940829666339522E-2</v>
      </c>
      <c r="AD39" s="12">
        <f t="shared" si="11"/>
        <v>-2.6874255359174421E-7</v>
      </c>
      <c r="AE39" s="48">
        <f t="shared" si="13"/>
        <v>-3.6519759999997792E-4</v>
      </c>
      <c r="AF39" s="12">
        <f t="shared" si="12"/>
        <v>4.1432815825954553E-7</v>
      </c>
      <c r="AG39" s="17">
        <f t="shared" si="14"/>
        <v>3.9751948271401973E-4</v>
      </c>
      <c r="AH39" s="4"/>
      <c r="AI39" s="3"/>
      <c r="AJ39" s="3"/>
    </row>
    <row r="40" spans="1:36" ht="15" x14ac:dyDescent="0.25">
      <c r="A40" s="1">
        <v>1992</v>
      </c>
      <c r="B40" s="18">
        <v>2175.6999999999998</v>
      </c>
      <c r="C40" s="18">
        <v>1752.7692237000001</v>
      </c>
      <c r="D40" s="18">
        <f t="shared" si="10"/>
        <v>3813500.0000040899</v>
      </c>
      <c r="E40" s="18">
        <f>B40/(1-'NAWRUn laskenta'!B41/100)</f>
        <v>2463.9864099660249</v>
      </c>
      <c r="F40" s="18">
        <v>3787.0675000000001</v>
      </c>
      <c r="G40" s="15">
        <f t="shared" si="8"/>
        <v>65.063176454236029</v>
      </c>
      <c r="H40" s="15">
        <v>65.529447793960571</v>
      </c>
      <c r="I40" s="45">
        <f>'NAWRUn laskenta'!O41</f>
        <v>9.5046954499999998</v>
      </c>
      <c r="J40" s="18">
        <v>1764.4146728515625</v>
      </c>
      <c r="K40" s="36">
        <f t="shared" si="15"/>
        <v>3962472.4970614798</v>
      </c>
      <c r="L40" s="4"/>
      <c r="M40" s="18">
        <v>2175.6999999999998</v>
      </c>
      <c r="N40" s="18">
        <v>1752.7692237000001</v>
      </c>
      <c r="O40" s="18">
        <f t="shared" si="5"/>
        <v>3813500.0000040899</v>
      </c>
      <c r="P40" s="18">
        <f>M37/(1-'NAWRUn laskenta'!Q41/100)</f>
        <v>2822.9898074745183</v>
      </c>
      <c r="Q40" s="18">
        <v>3787.0675000000001</v>
      </c>
      <c r="R40" s="15">
        <f t="shared" si="9"/>
        <v>74.54289651490285</v>
      </c>
      <c r="S40" s="15">
        <v>65.529435873031616</v>
      </c>
      <c r="T40" s="45">
        <f>'NAWRUn laskenta'!AC41</f>
        <v>9.4661459200000007</v>
      </c>
      <c r="U40" s="18">
        <v>1764.41357421875</v>
      </c>
      <c r="V40" s="36">
        <f t="shared" si="16"/>
        <v>3964157.2565128258</v>
      </c>
      <c r="W40" s="4"/>
      <c r="X40" s="12">
        <f t="shared" ref="X40:X62" si="17">(B40-M40)/B40</f>
        <v>0</v>
      </c>
      <c r="Y40" s="12">
        <f t="shared" ref="Y40:Y62" si="18">(C40-N40)/C40</f>
        <v>0</v>
      </c>
      <c r="Z40" s="12">
        <f t="shared" ref="Z40:Z62" si="19">(D40-O40)/D40</f>
        <v>0</v>
      </c>
      <c r="AA40" s="12">
        <f t="shared" si="6"/>
        <v>-0.14570023440731705</v>
      </c>
      <c r="AB40" s="12">
        <f t="shared" ref="AB40:AB68" si="20">(F40-Q40)/F40</f>
        <v>0</v>
      </c>
      <c r="AC40" s="12">
        <f t="shared" si="7"/>
        <v>-0.14570023440731705</v>
      </c>
      <c r="AD40" s="12">
        <f t="shared" si="11"/>
        <v>1.819171281980008E-7</v>
      </c>
      <c r="AE40" s="48">
        <f t="shared" si="13"/>
        <v>3.8549529999999665E-4</v>
      </c>
      <c r="AF40" s="12">
        <f t="shared" si="12"/>
        <v>6.2266134452647814E-7</v>
      </c>
      <c r="AG40" s="17">
        <f t="shared" si="14"/>
        <v>-4.2517883785828239E-4</v>
      </c>
      <c r="AH40" s="4"/>
      <c r="AI40" s="3"/>
      <c r="AJ40" s="3"/>
    </row>
    <row r="41" spans="1:36" ht="15" x14ac:dyDescent="0.25">
      <c r="A41" s="1">
        <v>1993</v>
      </c>
      <c r="B41" s="18">
        <v>2045.7</v>
      </c>
      <c r="C41" s="18">
        <v>1755.34047025</v>
      </c>
      <c r="D41" s="18">
        <f t="shared" si="10"/>
        <v>3590899.9999904251</v>
      </c>
      <c r="E41" s="18">
        <f>B41/(1-'NAWRUn laskenta'!B42/100)</f>
        <v>2444.0860215053767</v>
      </c>
      <c r="F41" s="18">
        <v>3805.9775</v>
      </c>
      <c r="G41" s="15">
        <f t="shared" si="8"/>
        <v>64.2170381066461</v>
      </c>
      <c r="H41" s="15">
        <v>64.641004800796509</v>
      </c>
      <c r="I41" s="45">
        <f>'NAWRUn laskenta'!O42</f>
        <v>10.81504513</v>
      </c>
      <c r="J41" s="18">
        <v>1764.45849609375</v>
      </c>
      <c r="K41" s="36">
        <f t="shared" si="15"/>
        <v>3871483.0242515542</v>
      </c>
      <c r="L41" s="4"/>
      <c r="M41" s="18">
        <v>2045.7</v>
      </c>
      <c r="N41" s="18">
        <v>1755.34047025</v>
      </c>
      <c r="O41" s="18">
        <f t="shared" si="5"/>
        <v>3590899.9999904251</v>
      </c>
      <c r="P41" s="18">
        <f>M38/(1-'NAWRUn laskenta'!Q42/100)</f>
        <v>2963.5603345280765</v>
      </c>
      <c r="Q41" s="18">
        <v>3805.9775</v>
      </c>
      <c r="R41" s="15">
        <f t="shared" si="9"/>
        <v>77.865944675922975</v>
      </c>
      <c r="S41" s="15">
        <v>64.640945196151733</v>
      </c>
      <c r="T41" s="45">
        <f>'NAWRUn laskenta'!AC42</f>
        <v>10.705092949999999</v>
      </c>
      <c r="U41" s="18">
        <v>1764.45703125</v>
      </c>
      <c r="V41" s="36">
        <f t="shared" si="16"/>
        <v>3876249.2118773279</v>
      </c>
      <c r="W41" s="4"/>
      <c r="X41" s="12">
        <f t="shared" si="17"/>
        <v>0</v>
      </c>
      <c r="Y41" s="12">
        <f t="shared" si="18"/>
        <v>0</v>
      </c>
      <c r="Z41" s="12">
        <f t="shared" si="19"/>
        <v>0</v>
      </c>
      <c r="AA41" s="12">
        <f t="shared" si="6"/>
        <v>-0.21254338368284678</v>
      </c>
      <c r="AB41" s="12">
        <f t="shared" si="20"/>
        <v>0</v>
      </c>
      <c r="AC41" s="12">
        <f t="shared" si="7"/>
        <v>-0.21254338368284678</v>
      </c>
      <c r="AD41" s="12">
        <f t="shared" si="11"/>
        <v>9.2208722557877344E-7</v>
      </c>
      <c r="AE41" s="48">
        <f t="shared" si="13"/>
        <v>1.0995218000000029E-3</v>
      </c>
      <c r="AF41" s="12">
        <f t="shared" si="12"/>
        <v>8.3019450627087424E-7</v>
      </c>
      <c r="AG41" s="17">
        <f t="shared" si="14"/>
        <v>-1.2311012591086148E-3</v>
      </c>
      <c r="AH41" s="4"/>
      <c r="AI41" s="3"/>
      <c r="AJ41" s="3"/>
    </row>
    <row r="42" spans="1:36" ht="15" x14ac:dyDescent="0.25">
      <c r="A42" s="1">
        <v>1994</v>
      </c>
      <c r="B42" s="18">
        <v>2017.2</v>
      </c>
      <c r="C42" s="18">
        <v>1774.8859805699999</v>
      </c>
      <c r="D42" s="18">
        <f t="shared" si="10"/>
        <v>3580300.000005804</v>
      </c>
      <c r="E42" s="18">
        <f>B42/(1-'NAWRUn laskenta'!B43/100)</f>
        <v>2418.705035971223</v>
      </c>
      <c r="F42" s="18">
        <v>3824.748</v>
      </c>
      <c r="G42" s="15">
        <f t="shared" si="8"/>
        <v>63.238284874486453</v>
      </c>
      <c r="H42" s="15">
        <v>63.978153467178345</v>
      </c>
      <c r="I42" s="45">
        <f>'NAWRUn laskenta'!O43</f>
        <v>11.497846210000001</v>
      </c>
      <c r="J42" s="18">
        <v>1766.5391845703125</v>
      </c>
      <c r="K42" s="36">
        <f t="shared" si="15"/>
        <v>3825706.4449930047</v>
      </c>
      <c r="L42" s="4"/>
      <c r="M42" s="18">
        <v>2017.2</v>
      </c>
      <c r="N42" s="18">
        <v>1774.8859805699999</v>
      </c>
      <c r="O42" s="18">
        <f t="shared" si="5"/>
        <v>3580300.000005804</v>
      </c>
      <c r="P42" s="18">
        <f>M39/(1-'NAWRUn laskenta'!Q43/100)</f>
        <v>2806.5947242206234</v>
      </c>
      <c r="Q42" s="18">
        <v>3824.748</v>
      </c>
      <c r="R42" s="15">
        <f t="shared" si="9"/>
        <v>73.379859907649418</v>
      </c>
      <c r="S42" s="15">
        <v>63.977998495101929</v>
      </c>
      <c r="T42" s="45">
        <f>'NAWRUn laskenta'!AC43</f>
        <v>11.36700905</v>
      </c>
      <c r="U42" s="18">
        <v>1766.5377197265625</v>
      </c>
      <c r="V42" s="36">
        <f t="shared" si="16"/>
        <v>3831349.7205585055</v>
      </c>
      <c r="W42" s="4"/>
      <c r="X42" s="12">
        <f t="shared" si="17"/>
        <v>0</v>
      </c>
      <c r="Y42" s="12">
        <f t="shared" si="18"/>
        <v>0</v>
      </c>
      <c r="Z42" s="12">
        <f t="shared" si="19"/>
        <v>0</v>
      </c>
      <c r="AA42" s="12">
        <f t="shared" si="6"/>
        <v>-0.16037081102518341</v>
      </c>
      <c r="AB42" s="12">
        <f t="shared" si="20"/>
        <v>0</v>
      </c>
      <c r="AC42" s="12">
        <f t="shared" si="7"/>
        <v>-0.16037081102518316</v>
      </c>
      <c r="AD42" s="12">
        <f t="shared" si="11"/>
        <v>2.4222655393691282E-6</v>
      </c>
      <c r="AE42" s="48">
        <f t="shared" si="13"/>
        <v>1.3083716000000106E-3</v>
      </c>
      <c r="AF42" s="12">
        <f t="shared" si="12"/>
        <v>8.2921667563026861E-7</v>
      </c>
      <c r="AG42" s="17">
        <f t="shared" si="14"/>
        <v>-1.4750937236406689E-3</v>
      </c>
      <c r="AH42" s="4"/>
      <c r="AI42" s="3"/>
      <c r="AJ42" s="3"/>
    </row>
    <row r="43" spans="1:36" ht="15" x14ac:dyDescent="0.25">
      <c r="A43" s="1">
        <v>1995</v>
      </c>
      <c r="B43" s="18">
        <v>2052.6999999999998</v>
      </c>
      <c r="C43" s="18">
        <v>1776.0997710300001</v>
      </c>
      <c r="D43" s="18">
        <f t="shared" si="10"/>
        <v>3645799.999993281</v>
      </c>
      <c r="E43" s="18">
        <f>B43/(1-'NAWRUn laskenta'!B44/100)</f>
        <v>2426.3593380614657</v>
      </c>
      <c r="F43" s="18">
        <v>3839.7020000000002</v>
      </c>
      <c r="G43" s="15">
        <f t="shared" si="8"/>
        <v>63.19134500702048</v>
      </c>
      <c r="H43" s="15">
        <v>63.604694604873657</v>
      </c>
      <c r="I43" s="45">
        <f>'NAWRUn laskenta'!O44</f>
        <v>11.88967061</v>
      </c>
      <c r="J43" s="18">
        <v>1768.4189453125</v>
      </c>
      <c r="K43" s="36">
        <f t="shared" si="15"/>
        <v>3805385.643833267</v>
      </c>
      <c r="L43" s="4"/>
      <c r="M43" s="18">
        <v>2052.6999999999998</v>
      </c>
      <c r="N43" s="18">
        <v>1776.0997710300001</v>
      </c>
      <c r="O43" s="18">
        <f t="shared" si="5"/>
        <v>3645799.999993281</v>
      </c>
      <c r="P43" s="18">
        <f>M40/(1-'NAWRUn laskenta'!Q44/100)</f>
        <v>2571.7494089834513</v>
      </c>
      <c r="Q43" s="18">
        <v>3839.7020000000002</v>
      </c>
      <c r="R43" s="15">
        <f t="shared" si="9"/>
        <v>66.977838618295152</v>
      </c>
      <c r="S43" s="15">
        <v>63.604414463043213</v>
      </c>
      <c r="T43" s="45">
        <f>'NAWRUn laskenta'!AC44</f>
        <v>11.756938330000001</v>
      </c>
      <c r="U43" s="18">
        <v>1768.41796875</v>
      </c>
      <c r="V43" s="36">
        <f t="shared" si="16"/>
        <v>3811099.3107952727</v>
      </c>
      <c r="W43" s="4"/>
      <c r="X43" s="12">
        <f t="shared" si="17"/>
        <v>0</v>
      </c>
      <c r="Y43" s="12">
        <f t="shared" si="18"/>
        <v>0</v>
      </c>
      <c r="Z43" s="12">
        <f t="shared" si="19"/>
        <v>0</v>
      </c>
      <c r="AA43" s="12">
        <f t="shared" ref="AA43:AA63" si="21">(E43-P43)/E43</f>
        <v>-5.9921079553758388E-2</v>
      </c>
      <c r="AB43" s="12">
        <f t="shared" si="20"/>
        <v>0</v>
      </c>
      <c r="AC43" s="12">
        <f t="shared" ref="AC43:AC63" si="22">(G43-R43)/G43</f>
        <v>-5.9921079553758465E-2</v>
      </c>
      <c r="AD43" s="12">
        <f t="shared" si="11"/>
        <v>4.4044206514100658E-6</v>
      </c>
      <c r="AE43" s="48">
        <f t="shared" si="13"/>
        <v>1.3273227999999887E-3</v>
      </c>
      <c r="AF43" s="12">
        <f t="shared" si="12"/>
        <v>5.5222350031283457E-7</v>
      </c>
      <c r="AG43" s="17">
        <f t="shared" si="14"/>
        <v>-1.5014685755344716E-3</v>
      </c>
      <c r="AH43" s="4"/>
      <c r="AI43" s="3"/>
      <c r="AJ43" s="3"/>
    </row>
    <row r="44" spans="1:36" ht="15" x14ac:dyDescent="0.25">
      <c r="A44" s="1">
        <v>1996</v>
      </c>
      <c r="B44" s="18">
        <v>2081.8000000000002</v>
      </c>
      <c r="C44" s="18">
        <v>1775.00240177</v>
      </c>
      <c r="D44" s="18">
        <f t="shared" si="10"/>
        <v>3695200.0000047865</v>
      </c>
      <c r="E44" s="18">
        <f>B44/(1-'NAWRUn laskenta'!B45/100)</f>
        <v>2437.7049180327872</v>
      </c>
      <c r="F44" s="18">
        <v>3850.5635000000002</v>
      </c>
      <c r="G44" s="15">
        <f t="shared" si="8"/>
        <v>63.307744906240018</v>
      </c>
      <c r="H44" s="15">
        <v>63.510459661483765</v>
      </c>
      <c r="I44" s="45">
        <f>'NAWRUn laskenta'!O45</f>
        <v>12.157986080000001</v>
      </c>
      <c r="J44" s="18">
        <v>1768.6947021484375</v>
      </c>
      <c r="K44" s="36">
        <f t="shared" si="15"/>
        <v>3799484.7423436395</v>
      </c>
      <c r="L44" s="4"/>
      <c r="M44" s="18">
        <v>2081.8000000000002</v>
      </c>
      <c r="N44" s="18">
        <v>1775.00240177</v>
      </c>
      <c r="O44" s="18">
        <f t="shared" si="5"/>
        <v>3695200.0000047865</v>
      </c>
      <c r="P44" s="18">
        <f>M41/(1-'NAWRUn laskenta'!Q45/100)</f>
        <v>2395.4332552693209</v>
      </c>
      <c r="Q44" s="18">
        <v>3850.5635000000002</v>
      </c>
      <c r="R44" s="15">
        <f t="shared" si="9"/>
        <v>62.209940318327973</v>
      </c>
      <c r="S44" s="15">
        <v>63.510030508041382</v>
      </c>
      <c r="T44" s="45">
        <f>'NAWRUn laskenta'!AC45</f>
        <v>12.026778459999999</v>
      </c>
      <c r="U44" s="18">
        <v>1768.6954345703125</v>
      </c>
      <c r="V44" s="36">
        <f t="shared" si="16"/>
        <v>3805135.8098178408</v>
      </c>
      <c r="W44" s="4"/>
      <c r="X44" s="12">
        <f t="shared" si="17"/>
        <v>0</v>
      </c>
      <c r="Y44" s="12">
        <f t="shared" si="18"/>
        <v>0</v>
      </c>
      <c r="Z44" s="12">
        <f t="shared" si="19"/>
        <v>0</v>
      </c>
      <c r="AA44" s="12">
        <f t="shared" si="21"/>
        <v>1.7340762801421966E-2</v>
      </c>
      <c r="AB44" s="12">
        <f t="shared" si="20"/>
        <v>0</v>
      </c>
      <c r="AC44" s="12">
        <f t="shared" si="22"/>
        <v>1.734076280142207E-2</v>
      </c>
      <c r="AD44" s="12">
        <f t="shared" si="11"/>
        <v>6.7572088860675455E-6</v>
      </c>
      <c r="AE44" s="48">
        <f t="shared" si="13"/>
        <v>1.3120762000000119E-3</v>
      </c>
      <c r="AF44" s="12">
        <f t="shared" si="12"/>
        <v>-4.1410305244332189E-7</v>
      </c>
      <c r="AG44" s="17">
        <f t="shared" si="14"/>
        <v>-1.487324692009572E-3</v>
      </c>
      <c r="AH44" s="4"/>
      <c r="AI44" s="3"/>
      <c r="AJ44" s="3"/>
    </row>
    <row r="45" spans="1:36" ht="15" x14ac:dyDescent="0.25">
      <c r="A45" s="1">
        <v>1997</v>
      </c>
      <c r="B45" s="18">
        <v>2152.9</v>
      </c>
      <c r="C45" s="18">
        <v>1770.54205955</v>
      </c>
      <c r="D45" s="18">
        <f t="shared" si="10"/>
        <v>3811800.0000051949</v>
      </c>
      <c r="E45" s="18">
        <f>B45/(1-'NAWRUn laskenta'!B46/100)</f>
        <v>2466.0939289805269</v>
      </c>
      <c r="F45" s="18">
        <v>3863.895</v>
      </c>
      <c r="G45" s="15">
        <f t="shared" si="8"/>
        <v>63.824040999574962</v>
      </c>
      <c r="H45" s="15">
        <v>63.643944263458252</v>
      </c>
      <c r="I45" s="45">
        <f>'NAWRUn laskenta'!O46</f>
        <v>11.995472149999999</v>
      </c>
      <c r="J45" s="18">
        <v>1766.7315673828125</v>
      </c>
      <c r="K45" s="36">
        <f t="shared" ref="K45:K65" si="23">H45*F45/100*(1-I45/100)*J45</f>
        <v>3823472.659568944</v>
      </c>
      <c r="L45" s="4"/>
      <c r="M45" s="18">
        <v>2152.9</v>
      </c>
      <c r="N45" s="18">
        <v>1770.54205955</v>
      </c>
      <c r="O45" s="18">
        <f t="shared" si="5"/>
        <v>3811800.0000051949</v>
      </c>
      <c r="P45" s="18">
        <f>M42/(1-'NAWRUn laskenta'!Q46/100)</f>
        <v>2310.6529209621995</v>
      </c>
      <c r="Q45" s="18">
        <v>3863.895</v>
      </c>
      <c r="R45" s="15">
        <f t="shared" si="9"/>
        <v>59.801131266822715</v>
      </c>
      <c r="S45" s="15">
        <v>63.643383979797363</v>
      </c>
      <c r="T45" s="45">
        <f>'NAWRUn laskenta'!AC46</f>
        <v>11.89631121</v>
      </c>
      <c r="U45" s="18">
        <v>1766.735595703125</v>
      </c>
      <c r="V45" s="36">
        <f t="shared" si="16"/>
        <v>3827755.8673703317</v>
      </c>
      <c r="W45" s="4"/>
      <c r="X45" s="12">
        <f t="shared" si="17"/>
        <v>0</v>
      </c>
      <c r="Y45" s="12">
        <f t="shared" si="18"/>
        <v>0</v>
      </c>
      <c r="Z45" s="12">
        <f t="shared" si="19"/>
        <v>0</v>
      </c>
      <c r="AA45" s="12">
        <f t="shared" si="21"/>
        <v>6.3031260160713393E-2</v>
      </c>
      <c r="AB45" s="12">
        <f t="shared" si="20"/>
        <v>0</v>
      </c>
      <c r="AC45" s="12">
        <f t="shared" si="22"/>
        <v>6.3031260160713379E-2</v>
      </c>
      <c r="AD45" s="12">
        <f t="shared" ref="AD45:AD68" si="24">(H45-S45)/H45</f>
        <v>8.8034088297441337E-6</v>
      </c>
      <c r="AE45" s="48">
        <f t="shared" si="13"/>
        <v>9.9160939999999587E-4</v>
      </c>
      <c r="AF45" s="12">
        <f t="shared" ref="AF45:AF68" si="25">(J45-U45)/J45</f>
        <v>-2.2800975467186805E-6</v>
      </c>
      <c r="AG45" s="17">
        <f t="shared" si="14"/>
        <v>-1.1202402064176213E-3</v>
      </c>
      <c r="AH45" s="4"/>
      <c r="AI45" s="3"/>
      <c r="AJ45" s="3"/>
    </row>
    <row r="46" spans="1:36" ht="15" x14ac:dyDescent="0.25">
      <c r="A46" s="1">
        <v>1998</v>
      </c>
      <c r="B46" s="18">
        <v>2192.6999999999998</v>
      </c>
      <c r="C46" s="18">
        <v>1760.66037306</v>
      </c>
      <c r="D46" s="18">
        <f t="shared" si="10"/>
        <v>3860600.0000086618</v>
      </c>
      <c r="E46" s="18">
        <f>B46/(1-'NAWRUn laskenta'!B47/100)</f>
        <v>2474.8306997742661</v>
      </c>
      <c r="F46" s="18">
        <v>3878.3310000000001</v>
      </c>
      <c r="G46" s="15">
        <f t="shared" si="8"/>
        <v>63.811745304211165</v>
      </c>
      <c r="H46" s="15">
        <v>63.933366537094116</v>
      </c>
      <c r="I46" s="45">
        <f>'NAWRUn laskenta'!O47</f>
        <v>11.6451574</v>
      </c>
      <c r="J46" s="18">
        <v>1762.5250244140625</v>
      </c>
      <c r="K46" s="36">
        <f t="shared" si="23"/>
        <v>3861340.4509108248</v>
      </c>
      <c r="L46" s="4"/>
      <c r="M46" s="18">
        <v>2192.6999999999998</v>
      </c>
      <c r="N46" s="18">
        <v>1760.66037306</v>
      </c>
      <c r="O46" s="18">
        <f t="shared" si="5"/>
        <v>3860600.0000086618</v>
      </c>
      <c r="P46" s="18">
        <f>M43/(1-'NAWRUn laskenta'!Q47/100)</f>
        <v>2316.8171557562073</v>
      </c>
      <c r="Q46" s="18">
        <v>3878.3310000000001</v>
      </c>
      <c r="R46" s="15">
        <f t="shared" si="9"/>
        <v>59.737478718454071</v>
      </c>
      <c r="S46" s="15">
        <v>63.932770490646362</v>
      </c>
      <c r="T46" s="45">
        <f>'NAWRUn laskenta'!AC47</f>
        <v>11.584279459999999</v>
      </c>
      <c r="U46" s="18">
        <v>1762.53466796875</v>
      </c>
      <c r="V46" s="36">
        <f t="shared" si="16"/>
        <v>3863986.0956444</v>
      </c>
      <c r="W46" s="4"/>
      <c r="X46" s="12">
        <f t="shared" si="17"/>
        <v>0</v>
      </c>
      <c r="Y46" s="12">
        <f t="shared" si="18"/>
        <v>0</v>
      </c>
      <c r="Z46" s="12">
        <f t="shared" si="19"/>
        <v>0</v>
      </c>
      <c r="AA46" s="12">
        <f t="shared" si="21"/>
        <v>6.3848223651206334E-2</v>
      </c>
      <c r="AB46" s="12">
        <f t="shared" si="20"/>
        <v>0</v>
      </c>
      <c r="AC46" s="12">
        <f t="shared" si="22"/>
        <v>6.3848223651206404E-2</v>
      </c>
      <c r="AD46" s="12">
        <f t="shared" si="24"/>
        <v>9.3229322971453456E-6</v>
      </c>
      <c r="AE46" s="48">
        <f t="shared" si="13"/>
        <v>6.0877940000000907E-4</v>
      </c>
      <c r="AF46" s="12">
        <f t="shared" si="25"/>
        <v>-5.4714427051643837E-6</v>
      </c>
      <c r="AG46" s="17">
        <f t="shared" si="14"/>
        <v>-6.8516225575269074E-4</v>
      </c>
      <c r="AH46" s="4"/>
      <c r="AI46" s="3"/>
      <c r="AJ46" s="3"/>
    </row>
    <row r="47" spans="1:36" ht="15" x14ac:dyDescent="0.25">
      <c r="A47" s="1">
        <v>1999</v>
      </c>
      <c r="B47" s="18">
        <v>2247.1999999999998</v>
      </c>
      <c r="C47" s="18">
        <v>1764.2844428599999</v>
      </c>
      <c r="D47" s="18">
        <f t="shared" si="10"/>
        <v>3964699.9999949913</v>
      </c>
      <c r="E47" s="18">
        <f>B47/(1-'NAWRUn laskenta'!B48/100)</f>
        <v>2502.4498886414253</v>
      </c>
      <c r="F47" s="18">
        <v>3890.9994999999999</v>
      </c>
      <c r="G47" s="15">
        <f t="shared" si="8"/>
        <v>64.313806481893039</v>
      </c>
      <c r="H47" s="15">
        <v>64.324963092803955</v>
      </c>
      <c r="I47" s="45">
        <f>'NAWRUn laskenta'!O48</f>
        <v>11.05405165</v>
      </c>
      <c r="J47" s="18">
        <v>1756.4521484375</v>
      </c>
      <c r="K47" s="36">
        <f t="shared" si="23"/>
        <v>3910238.1929216608</v>
      </c>
      <c r="L47" s="4"/>
      <c r="M47" s="18">
        <v>2247.1999999999998</v>
      </c>
      <c r="N47" s="18">
        <v>1764.2844428599999</v>
      </c>
      <c r="O47" s="18">
        <f t="shared" si="5"/>
        <v>3964699.9999949913</v>
      </c>
      <c r="P47" s="18">
        <f>M44/(1-'NAWRUn laskenta'!Q48/100)</f>
        <v>2318.2628062360805</v>
      </c>
      <c r="Q47" s="18">
        <v>3890.9994999999999</v>
      </c>
      <c r="R47" s="15">
        <f t="shared" si="9"/>
        <v>59.580136318086915</v>
      </c>
      <c r="S47" s="15">
        <v>64.324575662612915</v>
      </c>
      <c r="T47" s="45">
        <f>'NAWRUn laskenta'!AC48</f>
        <v>11.04113147</v>
      </c>
      <c r="U47" s="18">
        <v>1756.4696044921875</v>
      </c>
      <c r="V47" s="36">
        <f t="shared" ref="V47:V64" si="26">Q47*S47/100*(1-T47/100)*U47</f>
        <v>3910821.5008332743</v>
      </c>
      <c r="W47" s="4"/>
      <c r="X47" s="12">
        <f t="shared" si="17"/>
        <v>0</v>
      </c>
      <c r="Y47" s="12">
        <f t="shared" si="18"/>
        <v>0</v>
      </c>
      <c r="Z47" s="12">
        <f t="shared" si="19"/>
        <v>0</v>
      </c>
      <c r="AA47" s="12">
        <f t="shared" si="21"/>
        <v>7.3602705589177517E-2</v>
      </c>
      <c r="AB47" s="12">
        <f t="shared" si="20"/>
        <v>0</v>
      </c>
      <c r="AC47" s="12">
        <f t="shared" si="22"/>
        <v>7.3602705589177739E-2</v>
      </c>
      <c r="AD47" s="12">
        <f t="shared" si="24"/>
        <v>6.0230145873706839E-6</v>
      </c>
      <c r="AE47" s="48">
        <f t="shared" ref="AE47:AE68" si="27">(I47/100-T47/100)</f>
        <v>1.2920180000000614E-4</v>
      </c>
      <c r="AF47" s="12">
        <f t="shared" si="25"/>
        <v>-9.9382466542162899E-6</v>
      </c>
      <c r="AG47" s="17">
        <f t="shared" ref="AG47:AG68" si="28">(K47-V47)/K47</f>
        <v>-1.4917452155968356E-4</v>
      </c>
      <c r="AH47" s="4"/>
      <c r="AI47" s="3"/>
      <c r="AJ47" s="3"/>
    </row>
    <row r="48" spans="1:36" ht="15" x14ac:dyDescent="0.25">
      <c r="A48" s="1">
        <v>2000</v>
      </c>
      <c r="B48" s="18">
        <v>2293.4</v>
      </c>
      <c r="C48" s="18">
        <v>1750.63224906</v>
      </c>
      <c r="D48" s="18">
        <f t="shared" si="10"/>
        <v>4014899.9999942044</v>
      </c>
      <c r="E48" s="18">
        <f>B48/(1-'NAWRUn laskenta'!B49/100)</f>
        <v>2542.5720620842571</v>
      </c>
      <c r="F48" s="18">
        <v>3900.6444999999999</v>
      </c>
      <c r="G48" s="15">
        <f t="shared" si="8"/>
        <v>65.183383466097894</v>
      </c>
      <c r="H48" s="15">
        <v>64.752799272537231</v>
      </c>
      <c r="I48" s="45">
        <f>'NAWRUn laskenta'!O49</f>
        <v>10.415488290000001</v>
      </c>
      <c r="J48" s="18">
        <v>1748.7030029296875</v>
      </c>
      <c r="K48" s="36">
        <f t="shared" si="23"/>
        <v>3956798.2369121122</v>
      </c>
      <c r="L48" s="4"/>
      <c r="M48" s="18">
        <v>2293.4</v>
      </c>
      <c r="N48" s="18">
        <v>1750.63224906</v>
      </c>
      <c r="O48" s="18">
        <f t="shared" si="5"/>
        <v>4014899.9999942044</v>
      </c>
      <c r="P48" s="18">
        <f>M45/(1-'NAWRUn laskenta'!Q49/100)</f>
        <v>2386.8070953436809</v>
      </c>
      <c r="Q48" s="18">
        <v>3900.6444999999999</v>
      </c>
      <c r="R48" s="15">
        <f t="shared" si="9"/>
        <v>61.190069880597456</v>
      </c>
      <c r="S48" s="15">
        <v>64.753049612045288</v>
      </c>
      <c r="T48" s="45">
        <f>'NAWRUn laskenta'!AC49</f>
        <v>10.44167124</v>
      </c>
      <c r="U48" s="18">
        <v>1748.7298583984375</v>
      </c>
      <c r="V48" s="36">
        <f t="shared" si="26"/>
        <v>3955717.821041509</v>
      </c>
      <c r="W48" s="4"/>
      <c r="X48" s="12">
        <f t="shared" si="17"/>
        <v>0</v>
      </c>
      <c r="Y48" s="12">
        <f t="shared" si="18"/>
        <v>0</v>
      </c>
      <c r="Z48" s="12">
        <f t="shared" si="19"/>
        <v>0</v>
      </c>
      <c r="AA48" s="12">
        <f t="shared" si="21"/>
        <v>6.1262753989709505E-2</v>
      </c>
      <c r="AB48" s="12">
        <f t="shared" si="20"/>
        <v>0</v>
      </c>
      <c r="AC48" s="12">
        <f t="shared" si="22"/>
        <v>6.1262753989709269E-2</v>
      </c>
      <c r="AD48" s="12">
        <f t="shared" si="24"/>
        <v>-3.866080090267447E-6</v>
      </c>
      <c r="AE48" s="48">
        <f t="shared" si="27"/>
        <v>-2.6182949999999094E-4</v>
      </c>
      <c r="AF48" s="12">
        <f t="shared" si="25"/>
        <v>-1.535736411786777E-5</v>
      </c>
      <c r="AG48" s="17">
        <f t="shared" si="28"/>
        <v>2.7305306106442548E-4</v>
      </c>
      <c r="AH48" s="4"/>
      <c r="AI48" s="3"/>
      <c r="AJ48" s="3"/>
    </row>
    <row r="49" spans="1:36" ht="15" x14ac:dyDescent="0.25">
      <c r="A49" s="1">
        <v>2001</v>
      </c>
      <c r="B49" s="18">
        <v>2324.1999999999998</v>
      </c>
      <c r="C49" s="18">
        <v>1732.9833921300001</v>
      </c>
      <c r="D49" s="18">
        <f t="shared" si="10"/>
        <v>4027799.9999885457</v>
      </c>
      <c r="E49" s="18">
        <f>B49/(1-'NAWRUn laskenta'!B50/100)</f>
        <v>2556.8756875687568</v>
      </c>
      <c r="F49" s="18">
        <v>3909.0065</v>
      </c>
      <c r="G49" s="15">
        <f t="shared" si="8"/>
        <v>65.409860218159181</v>
      </c>
      <c r="H49" s="15">
        <v>65.149825811386108</v>
      </c>
      <c r="I49" s="45">
        <f>'NAWRUn laskenta'!O50</f>
        <v>9.6344257800000008</v>
      </c>
      <c r="J49" s="18">
        <v>1740.2513427734375</v>
      </c>
      <c r="K49" s="36">
        <f t="shared" si="23"/>
        <v>4004927.3437027493</v>
      </c>
      <c r="L49" s="4"/>
      <c r="M49" s="18">
        <v>2324.1999999999998</v>
      </c>
      <c r="N49" s="18">
        <v>1732.9833921300001</v>
      </c>
      <c r="O49" s="18">
        <f t="shared" si="5"/>
        <v>4027799.9999885457</v>
      </c>
      <c r="P49" s="18">
        <f>M46/(1-'NAWRUn laskenta'!Q50/100)</f>
        <v>2412.211221122112</v>
      </c>
      <c r="Q49" s="18">
        <v>3909.0065</v>
      </c>
      <c r="R49" s="15">
        <f t="shared" si="9"/>
        <v>61.709061397623977</v>
      </c>
      <c r="S49" s="15">
        <v>65.151399374008179</v>
      </c>
      <c r="T49" s="45">
        <f>'NAWRUn laskenta'!AC50</f>
        <v>9.7005583499999997</v>
      </c>
      <c r="U49" s="18">
        <v>1740.2864990234375</v>
      </c>
      <c r="V49" s="36">
        <f t="shared" si="26"/>
        <v>4002173.9127457668</v>
      </c>
      <c r="W49" s="4"/>
      <c r="X49" s="12">
        <f t="shared" si="17"/>
        <v>0</v>
      </c>
      <c r="Y49" s="12">
        <f t="shared" si="18"/>
        <v>0</v>
      </c>
      <c r="Z49" s="12">
        <f t="shared" si="19"/>
        <v>0</v>
      </c>
      <c r="AA49" s="12">
        <f t="shared" si="21"/>
        <v>5.6578607692969692E-2</v>
      </c>
      <c r="AB49" s="12">
        <f t="shared" si="20"/>
        <v>0</v>
      </c>
      <c r="AC49" s="12">
        <f t="shared" si="22"/>
        <v>5.6578607692969567E-2</v>
      </c>
      <c r="AD49" s="12">
        <f t="shared" si="24"/>
        <v>-2.4152982797312467E-5</v>
      </c>
      <c r="AE49" s="48">
        <f t="shared" si="27"/>
        <v>-6.6132569999997892E-4</v>
      </c>
      <c r="AF49" s="12">
        <f t="shared" si="25"/>
        <v>-2.0201823228575422E-5</v>
      </c>
      <c r="AG49" s="17">
        <f t="shared" si="28"/>
        <v>6.8751083869523122E-4</v>
      </c>
      <c r="AH49" s="4"/>
      <c r="AI49" s="3"/>
      <c r="AJ49" s="3"/>
    </row>
    <row r="50" spans="1:36" ht="15" x14ac:dyDescent="0.25">
      <c r="A50" s="1">
        <v>2002</v>
      </c>
      <c r="B50" s="18">
        <v>2346.1999999999998</v>
      </c>
      <c r="C50" s="18">
        <v>1726.1103060299999</v>
      </c>
      <c r="D50" s="18">
        <f t="shared" si="10"/>
        <v>4049800.0000075856</v>
      </c>
      <c r="E50" s="18">
        <f>B50/(1-'NAWRUn laskenta'!B51/100)</f>
        <v>2581.0781078107807</v>
      </c>
      <c r="F50" s="18">
        <v>3917.5084999999999</v>
      </c>
      <c r="G50" s="15">
        <f t="shared" si="8"/>
        <v>65.885705361220801</v>
      </c>
      <c r="H50" s="15">
        <v>65.492063760757446</v>
      </c>
      <c r="I50" s="45">
        <f>'NAWRUn laskenta'!O51</f>
        <v>8.9582351300000003</v>
      </c>
      <c r="J50" s="18">
        <v>1732.2635498046875</v>
      </c>
      <c r="K50" s="36">
        <f t="shared" si="23"/>
        <v>4046255.0882759322</v>
      </c>
      <c r="L50" s="4"/>
      <c r="M50" s="18">
        <v>2346.1999999999998</v>
      </c>
      <c r="N50" s="18">
        <v>1726.1103060299999</v>
      </c>
      <c r="O50" s="18">
        <f t="shared" si="5"/>
        <v>4049800.0000075856</v>
      </c>
      <c r="P50" s="18">
        <f>M47/(1-'NAWRUn laskenta'!Q51/100)</f>
        <v>2472.167216721672</v>
      </c>
      <c r="Q50" s="18">
        <v>3917.5084999999999</v>
      </c>
      <c r="R50" s="15">
        <f t="shared" si="9"/>
        <v>63.105599304294358</v>
      </c>
      <c r="S50" s="15">
        <v>65.495842695236206</v>
      </c>
      <c r="T50" s="45">
        <f>'NAWRUn laskenta'!AC51</f>
        <v>9.0448849100000004</v>
      </c>
      <c r="U50" s="18">
        <v>1732.3006591796875</v>
      </c>
      <c r="V50" s="36">
        <f t="shared" si="26"/>
        <v>4042723.8829480219</v>
      </c>
      <c r="W50" s="4"/>
      <c r="X50" s="12">
        <f t="shared" si="17"/>
        <v>0</v>
      </c>
      <c r="Y50" s="12">
        <f t="shared" si="18"/>
        <v>0</v>
      </c>
      <c r="Z50" s="12">
        <f t="shared" si="19"/>
        <v>0</v>
      </c>
      <c r="AA50" s="12">
        <f t="shared" si="21"/>
        <v>4.2195891228369184E-2</v>
      </c>
      <c r="AB50" s="12">
        <f t="shared" si="20"/>
        <v>0</v>
      </c>
      <c r="AC50" s="12">
        <f t="shared" si="22"/>
        <v>4.2195891228369017E-2</v>
      </c>
      <c r="AD50" s="12">
        <f t="shared" si="24"/>
        <v>-5.770064740308407E-5</v>
      </c>
      <c r="AE50" s="48">
        <f t="shared" si="27"/>
        <v>-8.6649780000000454E-4</v>
      </c>
      <c r="AF50" s="12">
        <f t="shared" si="25"/>
        <v>-2.1422476391761566E-5</v>
      </c>
      <c r="AG50" s="17">
        <f t="shared" si="28"/>
        <v>8.7270951802867708E-4</v>
      </c>
      <c r="AH50" s="4"/>
      <c r="AI50" s="3"/>
      <c r="AJ50" s="3"/>
    </row>
    <row r="51" spans="1:36" ht="15" x14ac:dyDescent="0.25">
      <c r="A51" s="1">
        <v>2003</v>
      </c>
      <c r="B51" s="18">
        <v>2347.6</v>
      </c>
      <c r="C51" s="18">
        <v>1718.73402624</v>
      </c>
      <c r="D51" s="18">
        <f t="shared" si="10"/>
        <v>4034900.000001024</v>
      </c>
      <c r="E51" s="18">
        <f>B51/(1-'NAWRUn laskenta'!B52/100)</f>
        <v>2579.7802197802198</v>
      </c>
      <c r="F51" s="18">
        <v>3926.4070000000002</v>
      </c>
      <c r="G51" s="15">
        <f t="shared" si="8"/>
        <v>65.70333181914711</v>
      </c>
      <c r="H51" s="15">
        <v>65.781521797180176</v>
      </c>
      <c r="I51" s="45">
        <f>'NAWRUn laskenta'!O52</f>
        <v>8.3418267000000004</v>
      </c>
      <c r="J51" s="18">
        <v>1725.1793212890625</v>
      </c>
      <c r="K51" s="36">
        <f t="shared" si="23"/>
        <v>4084178.1089502047</v>
      </c>
      <c r="L51" s="4"/>
      <c r="M51" s="18">
        <v>2347.6</v>
      </c>
      <c r="N51" s="18">
        <v>1718.73402624</v>
      </c>
      <c r="O51" s="18">
        <f t="shared" si="5"/>
        <v>4034900.000001024</v>
      </c>
      <c r="P51" s="18">
        <f>M48/(1-'NAWRUn laskenta'!Q52/100)</f>
        <v>2520.2197802197802</v>
      </c>
      <c r="Q51" s="18">
        <v>3926.4070000000002</v>
      </c>
      <c r="R51" s="15">
        <f t="shared" si="9"/>
        <v>64.186412163073769</v>
      </c>
      <c r="S51" s="15">
        <v>65.788459777832031</v>
      </c>
      <c r="T51" s="45">
        <f>'NAWRUn laskenta'!AC52</f>
        <v>8.4373310299999993</v>
      </c>
      <c r="U51" s="18">
        <v>1725.203369140625</v>
      </c>
      <c r="V51" s="36">
        <f t="shared" si="26"/>
        <v>4080409.7377731418</v>
      </c>
      <c r="W51" s="4"/>
      <c r="X51" s="12">
        <f t="shared" si="17"/>
        <v>0</v>
      </c>
      <c r="Y51" s="12">
        <f t="shared" si="18"/>
        <v>0</v>
      </c>
      <c r="Z51" s="12">
        <f t="shared" si="19"/>
        <v>0</v>
      </c>
      <c r="AA51" s="12">
        <f t="shared" si="21"/>
        <v>2.3087408417106842E-2</v>
      </c>
      <c r="AB51" s="12">
        <f t="shared" si="20"/>
        <v>0</v>
      </c>
      <c r="AC51" s="12">
        <f t="shared" si="22"/>
        <v>2.3087408417106846E-2</v>
      </c>
      <c r="AD51" s="12">
        <f t="shared" si="24"/>
        <v>-1.0547005393470352E-4</v>
      </c>
      <c r="AE51" s="48">
        <f t="shared" si="27"/>
        <v>-9.5504329999998583E-4</v>
      </c>
      <c r="AF51" s="12">
        <f t="shared" si="25"/>
        <v>-1.3939334459754205E-5</v>
      </c>
      <c r="AG51" s="17">
        <f t="shared" si="28"/>
        <v>9.2267552406804273E-4</v>
      </c>
      <c r="AH51" s="4"/>
      <c r="AI51" s="3"/>
      <c r="AJ51" s="3"/>
    </row>
    <row r="52" spans="1:36" ht="15" x14ac:dyDescent="0.25">
      <c r="A52" s="1">
        <v>2004</v>
      </c>
      <c r="B52" s="18">
        <v>2356.9</v>
      </c>
      <c r="C52" s="18">
        <v>1723.2381518100001</v>
      </c>
      <c r="D52" s="18">
        <f t="shared" si="10"/>
        <v>4061500.0000009895</v>
      </c>
      <c r="E52" s="18">
        <f>B52/(1-'NAWRUn laskenta'!B53/100)</f>
        <v>2584.3201754385964</v>
      </c>
      <c r="F52" s="18">
        <v>3936.5365000000002</v>
      </c>
      <c r="G52" s="15">
        <f t="shared" si="8"/>
        <v>65.64959261621469</v>
      </c>
      <c r="H52" s="15">
        <v>66.059583425521851</v>
      </c>
      <c r="I52" s="45">
        <f>'NAWRUn laskenta'!O53</f>
        <v>7.83037223</v>
      </c>
      <c r="J52" s="18">
        <v>1718.8231201171875</v>
      </c>
      <c r="K52" s="36">
        <f t="shared" si="23"/>
        <v>4119733.6012635333</v>
      </c>
      <c r="L52" s="4"/>
      <c r="M52" s="18">
        <v>2356.9</v>
      </c>
      <c r="N52" s="18">
        <v>1723.2381518100001</v>
      </c>
      <c r="O52" s="18">
        <f t="shared" si="5"/>
        <v>4061500.0000009895</v>
      </c>
      <c r="P52" s="18">
        <f>M49/(1-'NAWRUn laskenta'!Q53/100)</f>
        <v>2548.4649122807014</v>
      </c>
      <c r="Q52" s="18">
        <v>3936.5365000000002</v>
      </c>
      <c r="R52" s="15">
        <f t="shared" si="9"/>
        <v>64.738759878911353</v>
      </c>
      <c r="S52" s="15">
        <v>66.070300340652466</v>
      </c>
      <c r="T52" s="45">
        <f>'NAWRUn laskenta'!AC53</f>
        <v>7.9229676099999997</v>
      </c>
      <c r="U52" s="18">
        <v>1718.806396484375</v>
      </c>
      <c r="V52" s="36">
        <f t="shared" si="26"/>
        <v>4116222.4649322615</v>
      </c>
      <c r="W52" s="4"/>
      <c r="X52" s="12">
        <f t="shared" si="17"/>
        <v>0</v>
      </c>
      <c r="Y52" s="12">
        <f t="shared" si="18"/>
        <v>0</v>
      </c>
      <c r="Z52" s="12">
        <f t="shared" si="19"/>
        <v>0</v>
      </c>
      <c r="AA52" s="12">
        <f t="shared" si="21"/>
        <v>1.38741567312997E-2</v>
      </c>
      <c r="AB52" s="12">
        <f t="shared" si="20"/>
        <v>0</v>
      </c>
      <c r="AC52" s="12">
        <f t="shared" si="22"/>
        <v>1.3874156731299691E-2</v>
      </c>
      <c r="AD52" s="12">
        <f t="shared" si="24"/>
        <v>-1.6223104317177389E-4</v>
      </c>
      <c r="AE52" s="48">
        <f t="shared" si="27"/>
        <v>-9.2595379999999006E-4</v>
      </c>
      <c r="AF52" s="12">
        <f t="shared" si="25"/>
        <v>9.7296997095080968E-6</v>
      </c>
      <c r="AG52" s="17">
        <f t="shared" si="28"/>
        <v>8.5227266398850909E-4</v>
      </c>
      <c r="AH52" s="4"/>
      <c r="AI52" s="3"/>
      <c r="AJ52" s="3"/>
    </row>
    <row r="53" spans="1:36" ht="15" x14ac:dyDescent="0.25">
      <c r="A53" s="1">
        <v>2005</v>
      </c>
      <c r="B53" s="18">
        <v>2389.1999999999998</v>
      </c>
      <c r="C53" s="18">
        <v>1715.8044533699999</v>
      </c>
      <c r="D53" s="18">
        <f t="shared" si="10"/>
        <v>4099399.9999916037</v>
      </c>
      <c r="E53" s="18">
        <f>B53/(1-'NAWRUn laskenta'!B54/100)</f>
        <v>2608.2969432314408</v>
      </c>
      <c r="F53" s="18">
        <v>3948.6725000000001</v>
      </c>
      <c r="G53" s="15">
        <f t="shared" si="8"/>
        <v>66.055033513957937</v>
      </c>
      <c r="H53" s="15">
        <v>66.359817981719971</v>
      </c>
      <c r="I53" s="45">
        <f>'NAWRUn laskenta'!O54</f>
        <v>7.4375525900000001</v>
      </c>
      <c r="J53" s="18">
        <v>1712.3746337890625</v>
      </c>
      <c r="K53" s="36">
        <f t="shared" si="23"/>
        <v>4153267.6199638406</v>
      </c>
      <c r="L53" s="4"/>
      <c r="M53" s="18">
        <v>2389.1999999999998</v>
      </c>
      <c r="N53" s="18">
        <v>1715.8044533699999</v>
      </c>
      <c r="O53" s="18">
        <f t="shared" si="5"/>
        <v>4099399.9999916037</v>
      </c>
      <c r="P53" s="18">
        <f>M50/(1-'NAWRUn laskenta'!Q54/100)</f>
        <v>2561.3537117903929</v>
      </c>
      <c r="Q53" s="18">
        <v>3948.6725000000001</v>
      </c>
      <c r="R53" s="15">
        <f t="shared" si="9"/>
        <v>64.866197735831292</v>
      </c>
      <c r="S53" s="15">
        <v>66.373908519744873</v>
      </c>
      <c r="T53" s="45">
        <f>'NAWRUn laskenta'!AC54</f>
        <v>7.5182588499999996</v>
      </c>
      <c r="U53" s="18">
        <v>1712.2747802734375</v>
      </c>
      <c r="V53" s="36">
        <f t="shared" si="26"/>
        <v>4150285.4257995291</v>
      </c>
      <c r="W53" s="4"/>
      <c r="X53" s="12">
        <f t="shared" si="17"/>
        <v>0</v>
      </c>
      <c r="Y53" s="12">
        <f t="shared" si="18"/>
        <v>0</v>
      </c>
      <c r="Z53" s="12">
        <f t="shared" si="19"/>
        <v>0</v>
      </c>
      <c r="AA53" s="12">
        <f t="shared" si="21"/>
        <v>1.7997656119203002E-2</v>
      </c>
      <c r="AB53" s="12">
        <f t="shared" si="20"/>
        <v>0</v>
      </c>
      <c r="AC53" s="12">
        <f t="shared" si="22"/>
        <v>1.7997656119203009E-2</v>
      </c>
      <c r="AD53" s="12">
        <f t="shared" si="24"/>
        <v>-2.1233539291478829E-4</v>
      </c>
      <c r="AE53" s="48">
        <f t="shared" si="27"/>
        <v>-8.0706259999999141E-4</v>
      </c>
      <c r="AF53" s="12">
        <f t="shared" si="25"/>
        <v>5.8312891148153026E-5</v>
      </c>
      <c r="AG53" s="17">
        <f t="shared" si="28"/>
        <v>7.1803563776549439E-4</v>
      </c>
      <c r="AH53" s="4"/>
      <c r="AI53" s="3"/>
      <c r="AJ53" s="3"/>
    </row>
    <row r="54" spans="1:36" ht="15" x14ac:dyDescent="0.25">
      <c r="A54" s="1">
        <v>2006</v>
      </c>
      <c r="B54" s="18">
        <v>2433.1999999999998</v>
      </c>
      <c r="C54" s="18">
        <v>1708.7785632099999</v>
      </c>
      <c r="D54" s="18">
        <f t="shared" si="10"/>
        <v>4157800.0000025714</v>
      </c>
      <c r="E54" s="18">
        <f>B54/(1-'NAWRUn laskenta'!B55/100)</f>
        <v>2636.1863488624049</v>
      </c>
      <c r="F54" s="18">
        <v>3963.8955000000001</v>
      </c>
      <c r="G54" s="15">
        <f t="shared" si="8"/>
        <v>66.504940628793179</v>
      </c>
      <c r="H54" s="15">
        <v>66.67478084564209</v>
      </c>
      <c r="I54" s="45">
        <f>'NAWRUn laskenta'!O55</f>
        <v>7.1375393499999999</v>
      </c>
      <c r="J54" s="18">
        <v>1705.4552001953125</v>
      </c>
      <c r="K54" s="36">
        <f t="shared" si="23"/>
        <v>4185663.3605174236</v>
      </c>
      <c r="L54" s="4"/>
      <c r="M54" s="18">
        <v>2433.1999999999998</v>
      </c>
      <c r="N54" s="18">
        <v>1708.7785632099999</v>
      </c>
      <c r="O54" s="18">
        <f t="shared" si="5"/>
        <v>4157800.0000025714</v>
      </c>
      <c r="P54" s="18">
        <f>M51/(1-'NAWRUn laskenta'!Q55/100)</f>
        <v>2543.4452871072585</v>
      </c>
      <c r="Q54" s="18">
        <v>3963.8955000000001</v>
      </c>
      <c r="R54" s="15">
        <f t="shared" si="9"/>
        <v>64.165296161497153</v>
      </c>
      <c r="S54" s="15">
        <v>66.689765453338623</v>
      </c>
      <c r="T54" s="45">
        <f>'NAWRUn laskenta'!AC55</f>
        <v>7.2033026800000002</v>
      </c>
      <c r="U54" s="18">
        <v>1705.216552734375</v>
      </c>
      <c r="V54" s="36">
        <f t="shared" si="26"/>
        <v>4183053.7606762252</v>
      </c>
      <c r="W54" s="4"/>
      <c r="X54" s="12">
        <f t="shared" si="17"/>
        <v>0</v>
      </c>
      <c r="Y54" s="12">
        <f t="shared" si="18"/>
        <v>0</v>
      </c>
      <c r="Z54" s="12">
        <f t="shared" si="19"/>
        <v>0</v>
      </c>
      <c r="AA54" s="12">
        <f t="shared" si="21"/>
        <v>3.5180009863554206E-2</v>
      </c>
      <c r="AB54" s="12">
        <f t="shared" si="20"/>
        <v>0</v>
      </c>
      <c r="AC54" s="12">
        <f t="shared" si="22"/>
        <v>3.5180009863554129E-2</v>
      </c>
      <c r="AD54" s="12">
        <f t="shared" si="24"/>
        <v>-2.2474176152485409E-4</v>
      </c>
      <c r="AE54" s="48">
        <f t="shared" si="27"/>
        <v>-6.5763330000000175E-4</v>
      </c>
      <c r="AF54" s="12">
        <f t="shared" si="25"/>
        <v>1.3993182635941979E-4</v>
      </c>
      <c r="AG54" s="17">
        <f t="shared" si="28"/>
        <v>6.2346147227564531E-4</v>
      </c>
      <c r="AH54" s="4"/>
      <c r="AI54" s="3"/>
      <c r="AJ54" s="3"/>
    </row>
    <row r="55" spans="1:36" ht="15" x14ac:dyDescent="0.25">
      <c r="A55" s="1">
        <v>2007</v>
      </c>
      <c r="B55" s="18">
        <v>2486.1</v>
      </c>
      <c r="C55" s="18">
        <v>1706.36740276</v>
      </c>
      <c r="D55" s="18">
        <f t="shared" si="10"/>
        <v>4242200.0000016354</v>
      </c>
      <c r="E55" s="18">
        <f>B55/(1-'NAWRUn laskenta'!B56/100)</f>
        <v>2670.3544575725023</v>
      </c>
      <c r="F55" s="18">
        <v>3982.6925000000001</v>
      </c>
      <c r="G55" s="15">
        <f t="shared" si="8"/>
        <v>67.048973968552744</v>
      </c>
      <c r="H55" s="15">
        <v>66.966551542282104</v>
      </c>
      <c r="I55" s="45">
        <f>'NAWRUn laskenta'!O56</f>
        <v>6.9155543899999996</v>
      </c>
      <c r="J55" s="18">
        <v>1698.0291748046875</v>
      </c>
      <c r="K55" s="36">
        <f t="shared" si="23"/>
        <v>4215576.5113569591</v>
      </c>
      <c r="L55" s="4"/>
      <c r="M55" s="18">
        <v>2486.1</v>
      </c>
      <c r="N55" s="18">
        <v>1706.36740276</v>
      </c>
      <c r="O55" s="18">
        <f t="shared" si="5"/>
        <v>4242200.0000016354</v>
      </c>
      <c r="P55" s="18">
        <f>M52/(1-'NAWRUn laskenta'!Q56/100)</f>
        <v>2531.5789473684208</v>
      </c>
      <c r="Q55" s="18">
        <v>3982.6925000000001</v>
      </c>
      <c r="R55" s="15">
        <f t="shared" si="9"/>
        <v>63.564509370693841</v>
      </c>
      <c r="S55" s="15">
        <v>66.976457834243774</v>
      </c>
      <c r="T55" s="45">
        <f>'NAWRUn laskenta'!AC56</f>
        <v>6.9675205599999996</v>
      </c>
      <c r="U55" s="18">
        <v>1697.5926513671875</v>
      </c>
      <c r="V55" s="36">
        <f t="shared" si="26"/>
        <v>4212763.0619541816</v>
      </c>
      <c r="W55" s="4"/>
      <c r="X55" s="12">
        <f t="shared" si="17"/>
        <v>0</v>
      </c>
      <c r="Y55" s="12">
        <f t="shared" si="18"/>
        <v>0</v>
      </c>
      <c r="Z55" s="12">
        <f t="shared" si="19"/>
        <v>0</v>
      </c>
      <c r="AA55" s="12">
        <f t="shared" si="21"/>
        <v>5.1968947347250653E-2</v>
      </c>
      <c r="AB55" s="12">
        <f t="shared" si="20"/>
        <v>0</v>
      </c>
      <c r="AC55" s="12">
        <f t="shared" si="22"/>
        <v>5.1968947347250737E-2</v>
      </c>
      <c r="AD55" s="12">
        <f t="shared" si="24"/>
        <v>-1.4792895458287374E-4</v>
      </c>
      <c r="AE55" s="48">
        <f t="shared" si="27"/>
        <v>-5.19661700000007E-4</v>
      </c>
      <c r="AF55" s="12">
        <f t="shared" si="25"/>
        <v>2.5707652375891023E-4</v>
      </c>
      <c r="AG55" s="17">
        <f t="shared" si="28"/>
        <v>6.6739374678597687E-4</v>
      </c>
      <c r="AH55" s="4"/>
      <c r="AI55" s="3"/>
      <c r="AJ55" s="3"/>
    </row>
    <row r="56" spans="1:36" ht="15" x14ac:dyDescent="0.25">
      <c r="A56" s="1">
        <v>2008</v>
      </c>
      <c r="B56" s="18">
        <v>2550.1999999999998</v>
      </c>
      <c r="C56" s="18">
        <v>1688.45580739</v>
      </c>
      <c r="D56" s="18">
        <f t="shared" si="10"/>
        <v>4305900.0000059782</v>
      </c>
      <c r="E56" s="18">
        <f>B56/(1-'NAWRUn laskenta'!B57/100)</f>
        <v>2724.5726495726494</v>
      </c>
      <c r="F56" s="18">
        <v>4004.6170000000002</v>
      </c>
      <c r="G56" s="15">
        <f t="shared" si="8"/>
        <v>68.035785933402607</v>
      </c>
      <c r="H56" s="15">
        <v>67.180240154266357</v>
      </c>
      <c r="I56" s="45">
        <f>'NAWRUn laskenta'!O57</f>
        <v>6.7616060300000003</v>
      </c>
      <c r="J56" s="18">
        <v>1690.3934326171875</v>
      </c>
      <c r="K56" s="36">
        <f t="shared" si="23"/>
        <v>4240188.0683870157</v>
      </c>
      <c r="L56" s="4"/>
      <c r="M56" s="18">
        <v>2550.1999999999998</v>
      </c>
      <c r="N56" s="18">
        <v>1688.45580739</v>
      </c>
      <c r="O56" s="18">
        <f t="shared" si="5"/>
        <v>4305900.0000059782</v>
      </c>
      <c r="P56" s="18">
        <f>M53/(1-'NAWRUn laskenta'!Q57/100)</f>
        <v>2552.5641025641025</v>
      </c>
      <c r="Q56" s="18">
        <v>4004.6170000000002</v>
      </c>
      <c r="R56" s="15">
        <f t="shared" si="9"/>
        <v>63.740530057283941</v>
      </c>
      <c r="S56" s="15">
        <v>67.17408299446106</v>
      </c>
      <c r="T56" s="45">
        <f>'NAWRUn laskenta'!AC57</f>
        <v>6.8039696699999999</v>
      </c>
      <c r="U56" s="18">
        <v>1689.7205810546875</v>
      </c>
      <c r="V56" s="36">
        <f t="shared" si="26"/>
        <v>4236186.1998203481</v>
      </c>
      <c r="W56" s="4"/>
      <c r="X56" s="12">
        <f t="shared" si="17"/>
        <v>0</v>
      </c>
      <c r="Y56" s="12">
        <f t="shared" si="18"/>
        <v>0</v>
      </c>
      <c r="Z56" s="12">
        <f t="shared" si="19"/>
        <v>0</v>
      </c>
      <c r="AA56" s="12">
        <f t="shared" si="21"/>
        <v>6.3132303348756913E-2</v>
      </c>
      <c r="AB56" s="12">
        <f t="shared" si="20"/>
        <v>0</v>
      </c>
      <c r="AC56" s="12">
        <f t="shared" si="22"/>
        <v>6.3132303348756982E-2</v>
      </c>
      <c r="AD56" s="12">
        <f t="shared" si="24"/>
        <v>9.1651351515849476E-5</v>
      </c>
      <c r="AE56" s="48">
        <f t="shared" si="27"/>
        <v>-4.2363639999999647E-4</v>
      </c>
      <c r="AF56" s="12">
        <f t="shared" si="25"/>
        <v>3.9804435435970864E-4</v>
      </c>
      <c r="AG56" s="17">
        <f t="shared" si="28"/>
        <v>9.4379506336142015E-4</v>
      </c>
      <c r="AH56" s="4"/>
      <c r="AI56" s="3"/>
      <c r="AJ56" s="3"/>
    </row>
    <row r="57" spans="1:36" ht="15" x14ac:dyDescent="0.25">
      <c r="A57" s="1">
        <v>2009</v>
      </c>
      <c r="B57" s="18">
        <v>2483.9</v>
      </c>
      <c r="C57" s="18">
        <v>1672.53110029</v>
      </c>
      <c r="D57" s="18">
        <f t="shared" si="10"/>
        <v>4154400.0000103312</v>
      </c>
      <c r="E57" s="18">
        <f>B57/(1-'NAWRUn laskenta'!B58/100)</f>
        <v>2705.7734204793028</v>
      </c>
      <c r="F57" s="18">
        <v>4025.9780000000001</v>
      </c>
      <c r="G57" s="15">
        <f t="shared" si="8"/>
        <v>67.20785410350733</v>
      </c>
      <c r="H57" s="15">
        <v>67.269182205200195</v>
      </c>
      <c r="I57" s="45">
        <f>'NAWRUn laskenta'!O58</f>
        <v>6.9714309099999996</v>
      </c>
      <c r="J57" s="18">
        <v>1683.6781005859375</v>
      </c>
      <c r="K57" s="36">
        <f>H57*F57/100*(1-I57/100)*J57</f>
        <v>4241924.6459373347</v>
      </c>
      <c r="L57" s="4"/>
      <c r="M57" s="18">
        <v>2483.9</v>
      </c>
      <c r="N57" s="18">
        <v>1672.53110029</v>
      </c>
      <c r="O57" s="18">
        <f t="shared" si="5"/>
        <v>4154400.0000103312</v>
      </c>
      <c r="P57" s="18">
        <f>M54/(1-'NAWRUn laskenta'!Q58/100)</f>
        <v>2650.5446623093681</v>
      </c>
      <c r="Q57" s="18">
        <v>4025.9780000000001</v>
      </c>
      <c r="R57" s="15">
        <f t="shared" si="9"/>
        <v>65.836044367588897</v>
      </c>
      <c r="S57" s="15">
        <v>67.229998111724854</v>
      </c>
      <c r="T57" s="45">
        <f>'NAWRUn laskenta'!AC58</f>
        <v>6.98099472</v>
      </c>
      <c r="U57" s="18">
        <v>1682.7950439453125</v>
      </c>
      <c r="V57" s="36">
        <f t="shared" si="26"/>
        <v>4236794.6173593467</v>
      </c>
      <c r="W57" s="4"/>
      <c r="X57" s="12">
        <f t="shared" si="17"/>
        <v>0</v>
      </c>
      <c r="Y57" s="12">
        <f t="shared" si="18"/>
        <v>0</v>
      </c>
      <c r="Z57" s="12">
        <f t="shared" si="19"/>
        <v>0</v>
      </c>
      <c r="AA57" s="12">
        <f t="shared" si="21"/>
        <v>2.041144973630182E-2</v>
      </c>
      <c r="AB57" s="12">
        <f t="shared" si="20"/>
        <v>0</v>
      </c>
      <c r="AC57" s="12">
        <f t="shared" si="22"/>
        <v>2.0411449736301625E-2</v>
      </c>
      <c r="AD57" s="12">
        <f t="shared" si="24"/>
        <v>5.8249695017568829E-4</v>
      </c>
      <c r="AE57" s="48">
        <f t="shared" si="27"/>
        <v>-9.563810000000339E-5</v>
      </c>
      <c r="AF57" s="12">
        <f t="shared" si="25"/>
        <v>5.2448068328363184E-4</v>
      </c>
      <c r="AG57" s="17">
        <f t="shared" si="28"/>
        <v>1.209363439046772E-3</v>
      </c>
      <c r="AH57" s="4"/>
      <c r="AI57" s="3"/>
      <c r="AJ57" s="3"/>
    </row>
    <row r="58" spans="1:36" ht="15" x14ac:dyDescent="0.25">
      <c r="A58" s="1">
        <v>2010</v>
      </c>
      <c r="B58" s="18">
        <v>2482</v>
      </c>
      <c r="C58" s="18">
        <v>1677.1152296499999</v>
      </c>
      <c r="D58" s="18">
        <f t="shared" si="10"/>
        <v>4162599.9999913001</v>
      </c>
      <c r="E58" s="18">
        <f>B58/(1-'NAWRUn laskenta'!B59/100)</f>
        <v>2709.6069868995633</v>
      </c>
      <c r="F58" s="18">
        <v>4044.0374999999999</v>
      </c>
      <c r="G58" s="15">
        <f t="shared" si="8"/>
        <v>67.002518816889392</v>
      </c>
      <c r="H58" s="15">
        <v>67.272269725799561</v>
      </c>
      <c r="I58" s="45">
        <f>'NAWRUn laskenta'!O59</f>
        <v>6.9900365999999998</v>
      </c>
      <c r="J58" s="18">
        <v>1678.820068359375</v>
      </c>
      <c r="K58" s="36">
        <f t="shared" si="23"/>
        <v>4248003.6420012377</v>
      </c>
      <c r="L58" s="4"/>
      <c r="M58" s="18">
        <v>2482</v>
      </c>
      <c r="N58" s="18">
        <v>1677.1152296499999</v>
      </c>
      <c r="O58" s="18">
        <f t="shared" si="5"/>
        <v>4162599.9999913001</v>
      </c>
      <c r="P58" s="18">
        <f>M55/(1-'NAWRUn laskenta'!Q59/100)</f>
        <v>2714.0829694323143</v>
      </c>
      <c r="Q58" s="18">
        <v>4044.0374999999999</v>
      </c>
      <c r="R58" s="15">
        <f t="shared" si="9"/>
        <v>67.113199851196086</v>
      </c>
      <c r="S58" s="15">
        <v>67.177730798721313</v>
      </c>
      <c r="T58" s="45">
        <f>'NAWRUn laskenta'!AC59</f>
        <v>6.99311536</v>
      </c>
      <c r="U58" s="18">
        <v>1677.8841552734375</v>
      </c>
      <c r="V58" s="36">
        <f t="shared" si="26"/>
        <v>4239528.6469882708</v>
      </c>
      <c r="W58" s="4"/>
      <c r="X58" s="12">
        <f t="shared" si="17"/>
        <v>0</v>
      </c>
      <c r="Y58" s="12">
        <f t="shared" si="18"/>
        <v>0</v>
      </c>
      <c r="Z58" s="12">
        <f t="shared" si="19"/>
        <v>0</v>
      </c>
      <c r="AA58" s="12">
        <f t="shared" si="21"/>
        <v>-1.651893634165963E-3</v>
      </c>
      <c r="AB58" s="12">
        <f t="shared" si="20"/>
        <v>0</v>
      </c>
      <c r="AC58" s="12">
        <f t="shared" si="22"/>
        <v>-1.6518936341658021E-3</v>
      </c>
      <c r="AD58" s="12">
        <f t="shared" si="24"/>
        <v>1.4053179335792574E-3</v>
      </c>
      <c r="AE58" s="48">
        <f t="shared" si="27"/>
        <v>-3.078760000001235E-5</v>
      </c>
      <c r="AF58" s="12">
        <f t="shared" si="25"/>
        <v>5.5748266510306853E-4</v>
      </c>
      <c r="AG58" s="17">
        <f t="shared" si="28"/>
        <v>1.9950536127540464E-3</v>
      </c>
      <c r="AH58" s="4"/>
      <c r="AI58" s="3"/>
      <c r="AJ58" s="3"/>
    </row>
    <row r="59" spans="1:36" ht="15" x14ac:dyDescent="0.25">
      <c r="A59" s="1">
        <v>2011</v>
      </c>
      <c r="B59" s="18">
        <v>2519.6</v>
      </c>
      <c r="C59" s="18">
        <v>1673.99587236</v>
      </c>
      <c r="D59" s="18">
        <f t="shared" si="10"/>
        <v>4217799.9999982556</v>
      </c>
      <c r="E59" s="18">
        <f>B59/(1-'NAWRUn laskenta'!B60/100)</f>
        <v>2732.7548806941431</v>
      </c>
      <c r="F59" s="18">
        <v>4060.3009999999999</v>
      </c>
      <c r="G59" s="15">
        <f t="shared" si="8"/>
        <v>67.304243717255034</v>
      </c>
      <c r="H59" s="15">
        <v>67.222273349761963</v>
      </c>
      <c r="I59" s="45">
        <f>'NAWRUn laskenta'!O60</f>
        <v>6.9479208699999999</v>
      </c>
      <c r="J59" s="18">
        <v>1675.6414794921875</v>
      </c>
      <c r="K59" s="36">
        <f t="shared" si="23"/>
        <v>4255774.5141785778</v>
      </c>
      <c r="L59" s="4"/>
      <c r="M59" s="18">
        <v>2519.6</v>
      </c>
      <c r="N59" s="18">
        <v>1673.99587236</v>
      </c>
      <c r="O59" s="18">
        <f t="shared" si="5"/>
        <v>4217799.9999982556</v>
      </c>
      <c r="P59" s="18">
        <f>M56/(1-'NAWRUn laskenta'!Q60/100)</f>
        <v>2765.9436008676785</v>
      </c>
      <c r="Q59" s="18">
        <v>4060.3009999999999</v>
      </c>
      <c r="R59" s="15">
        <f t="shared" si="9"/>
        <v>68.121639279148965</v>
      </c>
      <c r="S59" s="15">
        <v>67.048585414886475</v>
      </c>
      <c r="T59" s="45">
        <f>'NAWRUn laskenta'!AC60</f>
        <v>6.9572795799999998</v>
      </c>
      <c r="U59" s="18">
        <v>1675.0299072265625</v>
      </c>
      <c r="V59" s="36">
        <f t="shared" si="26"/>
        <v>4242802.4923200747</v>
      </c>
      <c r="W59" s="4"/>
      <c r="X59" s="12">
        <f t="shared" si="17"/>
        <v>0</v>
      </c>
      <c r="Y59" s="12">
        <f t="shared" si="18"/>
        <v>0</v>
      </c>
      <c r="Z59" s="12">
        <f t="shared" si="19"/>
        <v>0</v>
      </c>
      <c r="AA59" s="12">
        <f t="shared" si="21"/>
        <v>-1.214478488648975E-2</v>
      </c>
      <c r="AB59" s="12">
        <f t="shared" si="20"/>
        <v>0</v>
      </c>
      <c r="AC59" s="12">
        <f t="shared" si="22"/>
        <v>-1.2144784886489603E-2</v>
      </c>
      <c r="AD59" s="12">
        <f t="shared" si="24"/>
        <v>2.5837854957950976E-3</v>
      </c>
      <c r="AE59" s="48">
        <f t="shared" si="27"/>
        <v>-9.3587100000000478E-5</v>
      </c>
      <c r="AF59" s="12">
        <f t="shared" si="25"/>
        <v>3.6497799386676699E-4</v>
      </c>
      <c r="AG59" s="17">
        <f t="shared" si="28"/>
        <v>3.0480989571429131E-3</v>
      </c>
      <c r="AH59" s="4"/>
      <c r="AI59" s="3"/>
      <c r="AJ59" s="3"/>
    </row>
    <row r="60" spans="1:36" ht="15" x14ac:dyDescent="0.25">
      <c r="A60" s="1">
        <v>2012</v>
      </c>
      <c r="B60" s="18">
        <v>2521.4</v>
      </c>
      <c r="C60" s="18">
        <v>1675.77536289</v>
      </c>
      <c r="D60" s="18">
        <f t="shared" si="10"/>
        <v>4225299.999990846</v>
      </c>
      <c r="E60" s="18">
        <f>B60/(1-'NAWRUn laskenta'!B61/100)</f>
        <v>2731.7443120260023</v>
      </c>
      <c r="F60" s="18">
        <v>4075.4839999999999</v>
      </c>
      <c r="G60" s="15">
        <f t="shared" si="8"/>
        <v>67.028709032497787</v>
      </c>
      <c r="H60" s="15">
        <v>67.124974727630615</v>
      </c>
      <c r="I60" s="45">
        <f>'NAWRUn laskenta'!O61</f>
        <v>7.0010992500000002</v>
      </c>
      <c r="J60" s="18">
        <v>1673.793701171875</v>
      </c>
      <c r="K60" s="36">
        <f t="shared" si="23"/>
        <v>4258366.847357898</v>
      </c>
      <c r="L60" s="4"/>
      <c r="M60" s="18">
        <v>2521.4</v>
      </c>
      <c r="N60" s="18">
        <v>1675.7753628936302</v>
      </c>
      <c r="O60" s="18">
        <f t="shared" si="5"/>
        <v>4225299.9999999991</v>
      </c>
      <c r="P60" s="18">
        <f>M57/(1-'NAWRUn laskenta'!Q61/100)</f>
        <v>2690.8666586122185</v>
      </c>
      <c r="Q60" s="18">
        <v>4074.8</v>
      </c>
      <c r="R60" s="15">
        <f t="shared" si="9"/>
        <v>66.036778703549089</v>
      </c>
      <c r="S60" s="15">
        <v>66.85636043548584</v>
      </c>
      <c r="T60" s="45">
        <f>'NAWRUn laskenta'!AC61</f>
        <v>7.0129483500000003</v>
      </c>
      <c r="U60" s="18">
        <v>1674.1973876953125</v>
      </c>
      <c r="V60" s="36">
        <f t="shared" si="26"/>
        <v>4241096.6109678717</v>
      </c>
      <c r="W60" s="4"/>
      <c r="X60" s="12">
        <f t="shared" si="17"/>
        <v>0</v>
      </c>
      <c r="Y60" s="12">
        <f t="shared" si="18"/>
        <v>-2.1663095081347946E-12</v>
      </c>
      <c r="Z60" s="12">
        <f t="shared" si="19"/>
        <v>-2.166245772688508E-12</v>
      </c>
      <c r="AA60" s="12">
        <f t="shared" si="21"/>
        <v>1.4963938328278881E-2</v>
      </c>
      <c r="AB60" s="12">
        <f t="shared" si="20"/>
        <v>1.6783282672677447E-4</v>
      </c>
      <c r="AC60" s="12">
        <f t="shared" si="22"/>
        <v>1.4798589190607508E-2</v>
      </c>
      <c r="AD60" s="12">
        <f t="shared" si="24"/>
        <v>4.0017041829023712E-3</v>
      </c>
      <c r="AE60" s="48">
        <f t="shared" si="27"/>
        <v>-1.1849099999999835E-4</v>
      </c>
      <c r="AF60" s="12">
        <f t="shared" si="25"/>
        <v>-2.4118057270431029E-4</v>
      </c>
      <c r="AG60" s="17">
        <f t="shared" si="28"/>
        <v>4.0556008932724052E-3</v>
      </c>
      <c r="AH60" s="4"/>
      <c r="AI60" s="3"/>
      <c r="AJ60" s="3"/>
    </row>
    <row r="61" spans="1:36" ht="15" x14ac:dyDescent="0.25">
      <c r="A61" s="1">
        <v>2013</v>
      </c>
      <c r="B61" s="18">
        <v>2506.8986799999998</v>
      </c>
      <c r="C61" s="18">
        <v>1672.42381217</v>
      </c>
      <c r="D61" s="18">
        <f t="shared" si="10"/>
        <v>4192597.0471295407</v>
      </c>
      <c r="E61" s="18">
        <f>B61/(1-'NAWRUn laskenta'!B62/100)</f>
        <v>2730.8264488017426</v>
      </c>
      <c r="F61" s="18">
        <v>4080.2919999999999</v>
      </c>
      <c r="G61" s="15">
        <f t="shared" si="8"/>
        <v>66.927230913908673</v>
      </c>
      <c r="H61" s="15">
        <v>66.994363069534302</v>
      </c>
      <c r="I61" s="45">
        <f>'NAWRUn laskenta'!O62</f>
        <v>7.1356459699999997</v>
      </c>
      <c r="J61" s="18">
        <v>1672.7637939453125</v>
      </c>
      <c r="K61" s="36">
        <f t="shared" si="23"/>
        <v>4246324.3911028039</v>
      </c>
      <c r="L61" s="4"/>
      <c r="M61" s="18">
        <v>2488.6750000000002</v>
      </c>
      <c r="N61" s="18">
        <v>1666.1476488492874</v>
      </c>
      <c r="O61" s="18">
        <f t="shared" si="5"/>
        <v>4146500.0000000005</v>
      </c>
      <c r="P61" s="18">
        <f>M58/(1-'NAWRUn laskenta'!Q62/100)</f>
        <v>2703.5764705882352</v>
      </c>
      <c r="Q61" s="18">
        <v>4086.5</v>
      </c>
      <c r="R61" s="15">
        <f t="shared" si="9"/>
        <v>66.158729244787352</v>
      </c>
      <c r="S61" s="15">
        <v>66.640406847000122</v>
      </c>
      <c r="T61" s="45">
        <f>'NAWRUn laskenta'!AC62</f>
        <v>7.14882068</v>
      </c>
      <c r="U61" s="18">
        <v>1675.248046875</v>
      </c>
      <c r="V61" s="36">
        <f t="shared" si="26"/>
        <v>4235997.4258247763</v>
      </c>
      <c r="W61" s="4"/>
      <c r="X61" s="12">
        <f t="shared" si="17"/>
        <v>7.2694122604107817E-3</v>
      </c>
      <c r="Y61" s="12">
        <f t="shared" si="18"/>
        <v>3.7527349676809356E-3</v>
      </c>
      <c r="Z61" s="12">
        <f t="shared" si="19"/>
        <v>1.0994867050507645E-2</v>
      </c>
      <c r="AA61" s="12">
        <f t="shared" si="21"/>
        <v>9.9786561776799652E-3</v>
      </c>
      <c r="AB61" s="12">
        <f t="shared" si="20"/>
        <v>-1.5214597386657828E-3</v>
      </c>
      <c r="AC61" s="12">
        <f t="shared" si="22"/>
        <v>1.1482645533473166E-2</v>
      </c>
      <c r="AD61" s="12">
        <f t="shared" si="24"/>
        <v>5.2833732021126019E-3</v>
      </c>
      <c r="AE61" s="48">
        <f t="shared" si="27"/>
        <v>-1.317470999999959E-4</v>
      </c>
      <c r="AF61" s="12">
        <f t="shared" si="25"/>
        <v>-1.4851187828666726E-3</v>
      </c>
      <c r="AG61" s="17">
        <f t="shared" si="28"/>
        <v>2.4319774767244252E-3</v>
      </c>
      <c r="AH61" s="4"/>
      <c r="AI61" s="3"/>
      <c r="AJ61" s="3"/>
    </row>
    <row r="62" spans="1:36" ht="15" x14ac:dyDescent="0.25">
      <c r="A62" s="22">
        <v>2014</v>
      </c>
      <c r="B62" s="61">
        <v>2506.9468758200001</v>
      </c>
      <c r="C62" s="61">
        <v>1672.42381217</v>
      </c>
      <c r="D62" s="61">
        <f t="shared" si="10"/>
        <v>4192677.6509665563</v>
      </c>
      <c r="E62" s="18">
        <f>B62/(1-'NAWRUn laskenta'!B63/100)</f>
        <v>2733.8570074372956</v>
      </c>
      <c r="F62" s="61">
        <v>4087.5810000000001</v>
      </c>
      <c r="G62" s="15">
        <f t="shared" si="8"/>
        <v>66.882026495310924</v>
      </c>
      <c r="H62" s="73">
        <v>66.834795475006104</v>
      </c>
      <c r="I62" s="45">
        <f>'NAWRUn laskenta'!O63</f>
        <v>7.2055770199999998</v>
      </c>
      <c r="J62" s="61">
        <v>1672.23681640625</v>
      </c>
      <c r="K62" s="36">
        <f t="shared" si="23"/>
        <v>4239246.3163383678</v>
      </c>
      <c r="L62" s="4"/>
      <c r="M62" s="18">
        <v>2480.3784036512402</v>
      </c>
      <c r="N62" s="18">
        <v>1676.7358939578874</v>
      </c>
      <c r="O62" s="18">
        <f t="shared" si="5"/>
        <v>4158939.5</v>
      </c>
      <c r="P62" s="18">
        <f>M59/(1-'NAWRUn laskenta'!Q63/100)</f>
        <v>2751.0709043459083</v>
      </c>
      <c r="Q62" s="18">
        <v>4094.7988710482723</v>
      </c>
      <c r="R62" s="15">
        <f t="shared" si="9"/>
        <v>67.184518482628945</v>
      </c>
      <c r="S62" s="15">
        <v>66.457819938659668</v>
      </c>
      <c r="T62" s="45">
        <f>'NAWRUn laskenta'!AC63</f>
        <v>7.2450913899999998</v>
      </c>
      <c r="U62" s="18">
        <v>1678.2012939453125</v>
      </c>
      <c r="V62" s="36">
        <f t="shared" si="26"/>
        <v>4236035.7732380135</v>
      </c>
      <c r="W62" s="4"/>
      <c r="X62" s="12">
        <f t="shared" si="17"/>
        <v>1.0597939838701026E-2</v>
      </c>
      <c r="Y62" s="12">
        <f t="shared" si="18"/>
        <v>-2.5783427361586852E-3</v>
      </c>
      <c r="Z62" s="12">
        <f t="shared" si="19"/>
        <v>8.0469222237436917E-3</v>
      </c>
      <c r="AA62" s="12">
        <f t="shared" si="21"/>
        <v>-6.2965608156473844E-3</v>
      </c>
      <c r="AB62" s="12">
        <f t="shared" si="20"/>
        <v>-1.7658050197102326E-3</v>
      </c>
      <c r="AC62" s="12">
        <f t="shared" si="22"/>
        <v>-4.522769466909448E-3</v>
      </c>
      <c r="AD62" s="12">
        <f t="shared" si="24"/>
        <v>5.6404083182600793E-3</v>
      </c>
      <c r="AE62" s="48">
        <f t="shared" si="27"/>
        <v>-3.9514370000000298E-4</v>
      </c>
      <c r="AF62" s="12">
        <f t="shared" si="25"/>
        <v>-3.5667660707773231E-3</v>
      </c>
      <c r="AG62" s="17">
        <f t="shared" si="28"/>
        <v>7.5733818249262657E-4</v>
      </c>
      <c r="AH62" s="4"/>
      <c r="AI62" s="3"/>
      <c r="AJ62" s="3"/>
    </row>
    <row r="63" spans="1:36" ht="15" x14ac:dyDescent="0.25">
      <c r="A63" s="26">
        <v>2015</v>
      </c>
      <c r="B63" s="34">
        <v>2514.4365339699998</v>
      </c>
      <c r="C63" s="34">
        <v>1674.0962359800001</v>
      </c>
      <c r="D63" s="34">
        <f>B63*C63</f>
        <v>4209408.7371297739</v>
      </c>
      <c r="E63" s="34">
        <f>B63/(1-'NAWRUn laskenta'!B64/100)</f>
        <v>2736.0571642763871</v>
      </c>
      <c r="F63" s="34">
        <v>4100.8329999999996</v>
      </c>
      <c r="G63" s="33">
        <f t="shared" si="8"/>
        <v>66.719546108714681</v>
      </c>
      <c r="H63" s="33">
        <v>66.643917560577393</v>
      </c>
      <c r="I63" s="49">
        <f>'NAWRUn laskenta'!O64</f>
        <v>7.2348570299999997</v>
      </c>
      <c r="J63" s="34">
        <v>1671.864013671875</v>
      </c>
      <c r="K63" s="37">
        <f>H63*F63/100*(1-I63/100)*J63</f>
        <v>4238560.3410722939</v>
      </c>
      <c r="L63" s="4"/>
      <c r="M63" s="61">
        <v>2489.3131997191358</v>
      </c>
      <c r="N63" s="61">
        <v>1684.0833915447031</v>
      </c>
      <c r="O63" s="61">
        <f>M63*N63</f>
        <v>4192211.0159999989</v>
      </c>
      <c r="P63" s="61">
        <f>M60/(1-'NAWRUn laskenta'!Q64/100)</f>
        <v>2749.4447274073896</v>
      </c>
      <c r="Q63" s="61">
        <v>4108.8793353995925</v>
      </c>
      <c r="R63" s="73">
        <f t="shared" si="9"/>
        <v>66.914710873104852</v>
      </c>
      <c r="S63" s="73">
        <v>66.335326433181763</v>
      </c>
      <c r="T63" s="75">
        <f>'NAWRUn laskenta'!AC64</f>
        <v>7.3022905800000002</v>
      </c>
      <c r="U63" s="61">
        <v>1682.16650390625</v>
      </c>
      <c r="V63" s="74">
        <f t="shared" si="26"/>
        <v>4250169.4164656634</v>
      </c>
      <c r="W63" s="4"/>
      <c r="X63" s="12">
        <f>(B63-M63)/B63</f>
        <v>9.9916358641183121E-3</v>
      </c>
      <c r="Y63" s="12">
        <f>(C63-N63)/C63</f>
        <v>-5.9656997907630025E-3</v>
      </c>
      <c r="Z63" s="12"/>
      <c r="AA63" s="12">
        <f t="shared" si="21"/>
        <v>-4.8930129479013013E-3</v>
      </c>
      <c r="AB63" s="12">
        <f t="shared" si="20"/>
        <v>-1.9621221833692969E-3</v>
      </c>
      <c r="AC63" s="12">
        <f t="shared" si="22"/>
        <v>-2.925151260354259E-3</v>
      </c>
      <c r="AD63" s="12">
        <f t="shared" si="24"/>
        <v>4.6304469888813109E-3</v>
      </c>
      <c r="AE63" s="48">
        <f t="shared" si="27"/>
        <v>-6.7433549999999787E-4</v>
      </c>
      <c r="AF63" s="12">
        <f t="shared" si="25"/>
        <v>-6.1622776434716638E-3</v>
      </c>
      <c r="AG63" s="17">
        <f t="shared" si="28"/>
        <v>-2.7389194583065661E-3</v>
      </c>
      <c r="AH63" s="4"/>
      <c r="AI63" s="3"/>
      <c r="AJ63" s="3"/>
    </row>
    <row r="64" spans="1:36" ht="15" x14ac:dyDescent="0.25">
      <c r="A64" s="1">
        <v>2016</v>
      </c>
      <c r="B64" s="18"/>
      <c r="C64" s="18"/>
      <c r="D64" s="18"/>
      <c r="E64" s="18"/>
      <c r="F64" s="18">
        <v>4103.7613570674839</v>
      </c>
      <c r="G64" s="15"/>
      <c r="H64" s="15">
        <v>66.424095630645752</v>
      </c>
      <c r="I64" s="45">
        <f>'NAWRUn laskenta'!O65</f>
        <v>7.2494970349999992</v>
      </c>
      <c r="J64" s="18">
        <v>1671.3150634765625</v>
      </c>
      <c r="K64" s="36">
        <f t="shared" si="23"/>
        <v>4225541.2789982222</v>
      </c>
      <c r="L64" s="4"/>
      <c r="M64" s="34">
        <v>2505.7240496397612</v>
      </c>
      <c r="N64" s="34">
        <v>1693.1303943073583</v>
      </c>
      <c r="O64" s="34">
        <f>M64*N64</f>
        <v>4242517.548192</v>
      </c>
      <c r="P64" s="34">
        <f>M61/(1-'NAWRUn laskenta'!Q65/100)</f>
        <v>2707.2551844934164</v>
      </c>
      <c r="Q64" s="34">
        <v>4107.414447651764</v>
      </c>
      <c r="R64" s="33">
        <f>P64/Q64*100</f>
        <v>65.911419921142169</v>
      </c>
      <c r="S64" s="33">
        <v>66.267716884613037</v>
      </c>
      <c r="T64" s="49">
        <f>'NAWRUn laskenta'!AC65</f>
        <v>7.34939521</v>
      </c>
      <c r="U64" s="34">
        <v>1686.1063232421875</v>
      </c>
      <c r="V64" s="37">
        <f t="shared" si="26"/>
        <v>4252102.7471062317</v>
      </c>
      <c r="W64" s="4"/>
      <c r="X64" s="12"/>
      <c r="Y64" s="12"/>
      <c r="Z64" s="12"/>
      <c r="AA64" s="12"/>
      <c r="AB64" s="12">
        <f t="shared" si="20"/>
        <v>-8.9018104768416107E-4</v>
      </c>
      <c r="AC64" s="12"/>
      <c r="AD64" s="12">
        <f t="shared" si="24"/>
        <v>2.3542472734934335E-3</v>
      </c>
      <c r="AE64" s="48">
        <f t="shared" si="27"/>
        <v>-9.9898175000000256E-4</v>
      </c>
      <c r="AF64" s="12">
        <f t="shared" si="25"/>
        <v>-8.850072669636071E-3</v>
      </c>
      <c r="AG64" s="17">
        <f t="shared" si="28"/>
        <v>-6.2859327016932262E-3</v>
      </c>
      <c r="AH64" s="4"/>
    </row>
    <row r="65" spans="1:34" s="3" customFormat="1" ht="15" x14ac:dyDescent="0.25">
      <c r="A65" s="1">
        <v>2017</v>
      </c>
      <c r="B65" s="18"/>
      <c r="C65" s="18"/>
      <c r="D65" s="18"/>
      <c r="E65" s="18"/>
      <c r="F65" s="18">
        <v>4106.9209397314789</v>
      </c>
      <c r="G65" s="15"/>
      <c r="H65" s="15">
        <v>66.185259819030762</v>
      </c>
      <c r="I65" s="45">
        <f>'NAWRUn laskenta'!O66</f>
        <v>7.2568170374999994</v>
      </c>
      <c r="J65" s="18">
        <v>1670.4832763671875</v>
      </c>
      <c r="K65" s="36">
        <f t="shared" si="23"/>
        <v>4211160.0701150913</v>
      </c>
      <c r="L65" s="4"/>
      <c r="M65" s="18"/>
      <c r="N65" s="18"/>
      <c r="O65" s="18"/>
      <c r="P65" s="18"/>
      <c r="Q65" s="18">
        <v>4113.4740000000002</v>
      </c>
      <c r="R65" s="15"/>
      <c r="S65" s="15">
        <v>66.222596168518066</v>
      </c>
      <c r="T65" s="45">
        <f>'NAWRUn laskenta'!AC66</f>
        <v>7.3729475249999998</v>
      </c>
      <c r="U65" s="18">
        <v>1689.175537109375</v>
      </c>
      <c r="V65" s="36">
        <f>Q65*S65/100*(1-T65/100)*U65</f>
        <v>4262138.7825063765</v>
      </c>
      <c r="W65" s="4"/>
      <c r="X65" s="12"/>
      <c r="Y65" s="12"/>
      <c r="Z65" s="12"/>
      <c r="AA65" s="12"/>
      <c r="AB65" s="12">
        <f t="shared" si="20"/>
        <v>-1.5956139318692795E-3</v>
      </c>
      <c r="AC65" s="12"/>
      <c r="AD65" s="12">
        <f t="shared" si="24"/>
        <v>-5.6411880212290223E-4</v>
      </c>
      <c r="AE65" s="48">
        <f t="shared" si="27"/>
        <v>-1.1613048750000049E-3</v>
      </c>
      <c r="AF65" s="12">
        <f t="shared" si="25"/>
        <v>-1.1189732340713819E-2</v>
      </c>
      <c r="AG65" s="17">
        <f t="shared" si="28"/>
        <v>-1.2105622095218047E-2</v>
      </c>
      <c r="AH65" s="4"/>
    </row>
    <row r="66" spans="1:34" s="140" customFormat="1" ht="15" x14ac:dyDescent="0.25">
      <c r="A66" s="97">
        <v>2018</v>
      </c>
      <c r="B66" s="61"/>
      <c r="C66" s="61"/>
      <c r="D66" s="61"/>
      <c r="E66" s="61"/>
      <c r="F66" s="61">
        <v>4114.2616016882057</v>
      </c>
      <c r="G66" s="73"/>
      <c r="H66" s="73">
        <v>65.939688682556152</v>
      </c>
      <c r="I66" s="75">
        <f>'NAWRUn laskenta'!O67</f>
        <v>7.2604770387499995</v>
      </c>
      <c r="J66" s="61">
        <v>1669.404052734375</v>
      </c>
      <c r="K66" s="74">
        <f>H66*F66/100*(1-I66/100)*J66</f>
        <v>4200153.0496291332</v>
      </c>
      <c r="L66" s="98"/>
      <c r="M66" s="61"/>
      <c r="N66" s="61"/>
      <c r="O66" s="61"/>
      <c r="P66" s="61"/>
      <c r="Q66" s="61">
        <v>4129.5060000000003</v>
      </c>
      <c r="R66" s="73"/>
      <c r="S66" s="73">
        <v>66.177064180374146</v>
      </c>
      <c r="T66" s="197">
        <f>'NAWRUn laskenta'!AC67</f>
        <v>7.3847236824999998</v>
      </c>
      <c r="U66" s="61">
        <v>1691.230712890625</v>
      </c>
      <c r="V66" s="74">
        <f>Q66*S66/100*(1-T66/100)*U66</f>
        <v>4280466.2950027017</v>
      </c>
      <c r="W66" s="98"/>
      <c r="X66" s="99"/>
      <c r="Y66" s="99"/>
      <c r="Z66" s="99"/>
      <c r="AA66" s="99"/>
      <c r="AB66" s="99">
        <f t="shared" si="20"/>
        <v>-3.7052574161884539E-3</v>
      </c>
      <c r="AC66" s="99"/>
      <c r="AD66" s="99">
        <f t="shared" si="24"/>
        <v>-3.5998880577182502E-3</v>
      </c>
      <c r="AE66" s="200">
        <f t="shared" si="27"/>
        <v>-1.2424664375000061E-3</v>
      </c>
      <c r="AF66" s="99">
        <f t="shared" si="25"/>
        <v>-1.3074522084991559E-2</v>
      </c>
      <c r="AG66" s="201">
        <f t="shared" si="28"/>
        <v>-1.9121504484380641E-2</v>
      </c>
      <c r="AH66" s="4"/>
    </row>
    <row r="67" spans="1:34" s="140" customFormat="1" ht="15" x14ac:dyDescent="0.25">
      <c r="A67" s="92">
        <v>2019</v>
      </c>
      <c r="B67" s="18"/>
      <c r="C67" s="18"/>
      <c r="D67" s="18"/>
      <c r="E67" s="18"/>
      <c r="F67" s="18">
        <v>4116.6199025799997</v>
      </c>
      <c r="G67" s="15"/>
      <c r="H67" s="15">
        <v>65.696066617965698</v>
      </c>
      <c r="I67" s="75">
        <f>'NAWRUn laskenta'!O68</f>
        <v>7.2623070393749991</v>
      </c>
      <c r="J67" s="18">
        <v>1668.171142578125</v>
      </c>
      <c r="K67" s="74">
        <f t="shared" ref="K67:K68" si="29">H67*F67/100*(1-I67/100)*J67</f>
        <v>4183858.8975835098</v>
      </c>
      <c r="L67" s="4"/>
      <c r="M67" s="18"/>
      <c r="N67" s="18"/>
      <c r="O67" s="18"/>
      <c r="P67" s="18"/>
      <c r="Q67" s="18">
        <v>4137.6270000000004</v>
      </c>
      <c r="R67" s="15"/>
      <c r="S67" s="15">
        <v>66.121995449066162</v>
      </c>
      <c r="T67" s="197">
        <f>'NAWRUn laskenta'!AC68</f>
        <v>7.3906117612499997</v>
      </c>
      <c r="U67" s="18">
        <v>1692.5577392578125</v>
      </c>
      <c r="V67" s="74">
        <f t="shared" ref="V67:V68" si="30">Q67*S67/100*(1-T67/100)*U67</f>
        <v>4288405.0311613241</v>
      </c>
      <c r="W67" s="4"/>
      <c r="X67" s="95"/>
      <c r="Y67" s="95"/>
      <c r="Z67" s="95"/>
      <c r="AA67" s="95"/>
      <c r="AB67" s="99">
        <f t="shared" si="20"/>
        <v>-5.1029966130307514E-3</v>
      </c>
      <c r="AC67" s="95"/>
      <c r="AD67" s="99">
        <f t="shared" si="24"/>
        <v>-6.483323173323537E-3</v>
      </c>
      <c r="AE67" s="200">
        <f t="shared" si="27"/>
        <v>-1.2830472187500136E-3</v>
      </c>
      <c r="AF67" s="99">
        <f t="shared" si="25"/>
        <v>-1.4618761862765775E-2</v>
      </c>
      <c r="AG67" s="201">
        <f t="shared" si="28"/>
        <v>-2.4987968317525599E-2</v>
      </c>
      <c r="AH67" s="4"/>
    </row>
    <row r="68" spans="1:34" ht="15.75" thickBot="1" x14ac:dyDescent="0.3">
      <c r="A68" s="100">
        <v>2020</v>
      </c>
      <c r="B68" s="103"/>
      <c r="C68" s="103"/>
      <c r="D68" s="103"/>
      <c r="E68" s="103"/>
      <c r="F68" s="40">
        <v>4112.3952808000004</v>
      </c>
      <c r="G68" s="103"/>
      <c r="H68" s="41">
        <v>65.456020832061768</v>
      </c>
      <c r="I68" s="46">
        <f>'NAWRUn laskenta'!O69</f>
        <v>7.2632220396874985</v>
      </c>
      <c r="J68" s="40">
        <v>1666.8790283203125</v>
      </c>
      <c r="K68" s="42">
        <f t="shared" si="29"/>
        <v>4161027.0377891972</v>
      </c>
      <c r="L68" s="103"/>
      <c r="M68" s="103"/>
      <c r="N68" s="103"/>
      <c r="O68" s="103"/>
      <c r="P68" s="103"/>
      <c r="Q68" s="40">
        <v>4144.915</v>
      </c>
      <c r="R68" s="103"/>
      <c r="S68" s="41">
        <v>66.060382127761841</v>
      </c>
      <c r="T68" s="195">
        <f>'NAWRUn laskenta'!AC69</f>
        <v>7.3935558006250002</v>
      </c>
      <c r="U68" s="40">
        <v>1693.573974609375</v>
      </c>
      <c r="V68" s="42">
        <f t="shared" si="30"/>
        <v>4294396.0094085149</v>
      </c>
      <c r="W68" s="103"/>
      <c r="X68" s="39"/>
      <c r="Y68" s="39"/>
      <c r="Z68" s="39"/>
      <c r="AA68" s="39"/>
      <c r="AB68" s="102">
        <f t="shared" si="20"/>
        <v>-7.9077318641590823E-3</v>
      </c>
      <c r="AC68" s="39"/>
      <c r="AD68" s="102">
        <f t="shared" si="24"/>
        <v>-9.2330894548365832E-3</v>
      </c>
      <c r="AE68" s="118">
        <f t="shared" si="27"/>
        <v>-1.3033376093750104E-3</v>
      </c>
      <c r="AF68" s="102">
        <f t="shared" si="25"/>
        <v>-1.6014927199583626E-2</v>
      </c>
      <c r="AG68" s="30">
        <f t="shared" si="28"/>
        <v>-3.2051935834134425E-2</v>
      </c>
      <c r="AH68" s="28"/>
    </row>
    <row r="69" spans="1:34" s="3" customFormat="1" ht="15" thickTop="1" x14ac:dyDescent="0.2">
      <c r="A69" s="22"/>
      <c r="B69" s="61"/>
      <c r="C69" s="61"/>
      <c r="D69" s="61"/>
      <c r="E69" s="61"/>
      <c r="F69" s="61"/>
      <c r="G69" s="73"/>
      <c r="H69" s="73"/>
      <c r="M69" s="61"/>
      <c r="N69" s="61"/>
      <c r="O69" s="61"/>
      <c r="P69" s="61"/>
      <c r="Q69" s="61"/>
      <c r="R69" s="73"/>
      <c r="S69" s="73"/>
      <c r="T69" s="91"/>
      <c r="U69" s="91"/>
      <c r="V69" s="91"/>
      <c r="W69" s="91"/>
      <c r="X69" s="25"/>
      <c r="Y69" s="25"/>
      <c r="Z69" s="25"/>
      <c r="AA69" s="25"/>
      <c r="AB69" s="25"/>
      <c r="AC69" s="25"/>
      <c r="AD69" s="25"/>
      <c r="AE69" s="91"/>
      <c r="AF69" s="91"/>
      <c r="AG69" s="91"/>
      <c r="AH69" s="91"/>
    </row>
    <row r="70" spans="1:34" x14ac:dyDescent="0.2">
      <c r="H70" s="3"/>
      <c r="J70" s="3"/>
      <c r="K70" s="3"/>
      <c r="L70" s="3"/>
    </row>
    <row r="71" spans="1:34" x14ac:dyDescent="0.2">
      <c r="I71" s="3"/>
      <c r="L71" s="3"/>
    </row>
    <row r="72" spans="1:34" x14ac:dyDescent="0.2">
      <c r="A72" t="s">
        <v>69</v>
      </c>
      <c r="L72" s="3"/>
    </row>
    <row r="73" spans="1:34" x14ac:dyDescent="0.2">
      <c r="C73" t="s">
        <v>113</v>
      </c>
      <c r="K73" s="140"/>
      <c r="L73" s="72"/>
      <c r="R73" s="76"/>
      <c r="V73" s="204"/>
    </row>
    <row r="74" spans="1:34" x14ac:dyDescent="0.2">
      <c r="K74" s="140"/>
      <c r="L74" s="72"/>
      <c r="T74" s="3"/>
      <c r="U74" s="3"/>
      <c r="V74" s="86"/>
    </row>
    <row r="75" spans="1:34" x14ac:dyDescent="0.2">
      <c r="C75" t="s">
        <v>70</v>
      </c>
      <c r="K75" s="140"/>
      <c r="L75" s="72"/>
      <c r="S75" s="140"/>
      <c r="T75" s="3"/>
      <c r="U75" s="3"/>
      <c r="V75" s="86"/>
    </row>
    <row r="76" spans="1:34" x14ac:dyDescent="0.2">
      <c r="K76" s="3"/>
      <c r="L76" s="78"/>
      <c r="T76" s="3"/>
      <c r="U76" s="3"/>
      <c r="V76" s="86"/>
    </row>
    <row r="77" spans="1:34" x14ac:dyDescent="0.2">
      <c r="C77" t="s">
        <v>114</v>
      </c>
      <c r="K77" s="76"/>
      <c r="L77" s="78"/>
      <c r="T77" s="3"/>
      <c r="U77" s="3"/>
      <c r="V77" s="123"/>
      <c r="W77" s="124"/>
    </row>
    <row r="78" spans="1:34" x14ac:dyDescent="0.2">
      <c r="J78" s="91"/>
      <c r="K78" s="140"/>
      <c r="L78" s="78"/>
      <c r="T78" s="3"/>
      <c r="U78" s="3"/>
      <c r="V78" s="123"/>
      <c r="W78" s="124"/>
    </row>
    <row r="79" spans="1:34" x14ac:dyDescent="0.2">
      <c r="A79" t="s">
        <v>122</v>
      </c>
      <c r="C79" t="s">
        <v>116</v>
      </c>
      <c r="I79" s="91"/>
      <c r="J79" s="91"/>
      <c r="K79" s="91"/>
      <c r="L79" s="123"/>
      <c r="T79" s="3"/>
      <c r="U79" s="3"/>
      <c r="V79" s="123"/>
      <c r="W79" s="124"/>
    </row>
    <row r="80" spans="1:34" x14ac:dyDescent="0.2">
      <c r="C80" s="91" t="s">
        <v>121</v>
      </c>
      <c r="I80" s="91"/>
      <c r="J80" s="91"/>
      <c r="K80" s="91"/>
      <c r="L80" s="123"/>
      <c r="T80" s="3"/>
      <c r="U80" s="3"/>
      <c r="V80" s="123"/>
      <c r="W80" s="124"/>
    </row>
    <row r="81" spans="3:33" x14ac:dyDescent="0.2">
      <c r="C81" s="91" t="s">
        <v>124</v>
      </c>
      <c r="G81" s="91"/>
      <c r="H81" s="91"/>
      <c r="I81" s="79"/>
      <c r="J81" s="79"/>
      <c r="K81" s="122"/>
      <c r="L81" s="123"/>
      <c r="T81" s="3"/>
      <c r="U81" s="3"/>
      <c r="V81" s="123"/>
      <c r="W81" s="124"/>
    </row>
    <row r="82" spans="3:33" s="140" customFormat="1" x14ac:dyDescent="0.2">
      <c r="C82" s="140" t="s">
        <v>290</v>
      </c>
      <c r="I82" s="79"/>
      <c r="J82" s="79"/>
      <c r="K82" s="122"/>
      <c r="L82" s="123"/>
      <c r="V82" s="123"/>
      <c r="W82" s="124"/>
      <c r="X82" s="38"/>
      <c r="Y82" s="38"/>
      <c r="Z82" s="38"/>
      <c r="AA82" s="38"/>
      <c r="AB82" s="38"/>
      <c r="AC82" s="38"/>
      <c r="AD82" s="38"/>
      <c r="AE82" s="38"/>
      <c r="AF82" s="38"/>
      <c r="AG82" s="38"/>
    </row>
    <row r="83" spans="3:33" x14ac:dyDescent="0.2">
      <c r="E83" s="3"/>
      <c r="G83" s="91"/>
      <c r="H83" s="91"/>
      <c r="I83" s="79"/>
      <c r="J83" s="79"/>
      <c r="K83" s="122"/>
      <c r="L83" s="123"/>
      <c r="T83" s="3"/>
      <c r="V83" s="123"/>
      <c r="W83" s="124"/>
    </row>
    <row r="84" spans="3:33" x14ac:dyDescent="0.2">
      <c r="C84" t="s">
        <v>117</v>
      </c>
      <c r="D84" s="3"/>
      <c r="E84" s="3"/>
      <c r="F84" s="91"/>
      <c r="G84" s="91"/>
      <c r="H84" s="2"/>
      <c r="I84" s="79"/>
      <c r="J84" s="79"/>
      <c r="K84" s="122"/>
      <c r="L84" s="123"/>
      <c r="V84" s="123"/>
      <c r="W84" s="124"/>
    </row>
    <row r="85" spans="3:33" x14ac:dyDescent="0.2">
      <c r="C85" t="s">
        <v>123</v>
      </c>
      <c r="D85" s="3"/>
      <c r="E85" s="3"/>
      <c r="F85" s="91"/>
      <c r="G85" s="91"/>
      <c r="H85" s="2"/>
      <c r="I85" s="79"/>
      <c r="J85" s="79"/>
      <c r="K85" s="122"/>
      <c r="L85" s="123"/>
      <c r="V85" s="123"/>
      <c r="W85" s="124"/>
    </row>
    <row r="86" spans="3:33" x14ac:dyDescent="0.2">
      <c r="C86" t="s">
        <v>125</v>
      </c>
      <c r="D86" s="3"/>
      <c r="E86" s="3"/>
      <c r="F86" s="91"/>
      <c r="G86" s="91"/>
      <c r="H86" s="2"/>
      <c r="I86" s="79"/>
      <c r="J86" s="79"/>
      <c r="K86" s="122"/>
      <c r="L86" s="123"/>
      <c r="V86" s="123"/>
      <c r="W86" s="124"/>
    </row>
    <row r="87" spans="3:33" s="140" customFormat="1" x14ac:dyDescent="0.2">
      <c r="C87" s="140" t="s">
        <v>291</v>
      </c>
      <c r="H87" s="2"/>
      <c r="I87" s="79"/>
      <c r="J87" s="79"/>
      <c r="K87" s="122"/>
      <c r="L87" s="123"/>
      <c r="V87" s="123"/>
      <c r="W87" s="124"/>
      <c r="X87" s="38"/>
      <c r="Y87" s="38"/>
      <c r="Z87" s="38"/>
      <c r="AA87" s="38"/>
      <c r="AB87" s="38"/>
      <c r="AC87" s="38"/>
      <c r="AD87" s="38"/>
      <c r="AE87" s="38"/>
      <c r="AF87" s="38"/>
      <c r="AG87" s="38"/>
    </row>
    <row r="88" spans="3:33" x14ac:dyDescent="0.2">
      <c r="D88" s="3"/>
      <c r="E88" s="3"/>
      <c r="F88" s="91"/>
      <c r="G88" s="91"/>
      <c r="H88" s="2"/>
      <c r="I88" s="79"/>
      <c r="J88" s="79"/>
      <c r="K88" s="122"/>
      <c r="L88" s="123"/>
      <c r="V88" s="123"/>
      <c r="W88" s="124"/>
    </row>
    <row r="89" spans="3:33" x14ac:dyDescent="0.2">
      <c r="C89" t="s">
        <v>118</v>
      </c>
      <c r="D89" s="3"/>
      <c r="E89" s="3"/>
      <c r="F89" s="91"/>
      <c r="G89" s="91"/>
      <c r="H89" s="2"/>
      <c r="I89" s="79"/>
      <c r="J89" s="79"/>
      <c r="K89" s="122"/>
      <c r="L89" s="123"/>
      <c r="V89" s="123"/>
      <c r="W89" s="124"/>
    </row>
    <row r="90" spans="3:33" x14ac:dyDescent="0.2">
      <c r="C90" t="s">
        <v>119</v>
      </c>
      <c r="D90" s="3"/>
      <c r="E90" s="3"/>
      <c r="F90" s="91"/>
      <c r="G90" s="91"/>
      <c r="H90" s="2"/>
      <c r="I90" s="79"/>
      <c r="J90" s="79"/>
      <c r="K90" s="122"/>
      <c r="L90" s="123"/>
      <c r="V90" s="123"/>
      <c r="W90" s="124"/>
    </row>
    <row r="91" spans="3:33" x14ac:dyDescent="0.2">
      <c r="C91" t="s">
        <v>120</v>
      </c>
      <c r="D91" s="3"/>
      <c r="E91" s="3"/>
      <c r="F91" s="91"/>
      <c r="G91" s="91"/>
      <c r="H91" s="2"/>
      <c r="I91" s="79"/>
      <c r="J91" s="79"/>
      <c r="K91" s="122"/>
      <c r="L91" s="123"/>
      <c r="V91" s="123"/>
      <c r="W91" s="124"/>
    </row>
    <row r="92" spans="3:33" x14ac:dyDescent="0.2">
      <c r="C92" s="140" t="s">
        <v>289</v>
      </c>
      <c r="D92" s="3"/>
      <c r="E92" s="3"/>
      <c r="F92" s="91"/>
      <c r="G92" s="91"/>
      <c r="H92" s="2"/>
      <c r="I92" s="79"/>
      <c r="J92" s="79"/>
      <c r="K92" s="122"/>
      <c r="L92" s="123"/>
      <c r="V92" s="123"/>
      <c r="W92" s="124"/>
    </row>
    <row r="93" spans="3:33" x14ac:dyDescent="0.2">
      <c r="D93" s="3"/>
      <c r="E93" s="3"/>
      <c r="F93" s="91"/>
      <c r="G93" s="91"/>
      <c r="H93" s="2"/>
      <c r="I93" s="79"/>
      <c r="J93" s="79"/>
      <c r="K93" s="122"/>
      <c r="L93" s="123"/>
      <c r="V93" s="123"/>
      <c r="W93" s="124"/>
    </row>
    <row r="94" spans="3:33" x14ac:dyDescent="0.2">
      <c r="D94" s="3"/>
      <c r="E94" s="3"/>
      <c r="F94" s="91"/>
      <c r="G94" s="91"/>
      <c r="H94" s="2"/>
      <c r="I94" s="79"/>
      <c r="J94" s="79"/>
      <c r="K94" s="122"/>
      <c r="L94" s="123"/>
      <c r="V94" s="123"/>
      <c r="W94" s="124"/>
    </row>
    <row r="95" spans="3:33" x14ac:dyDescent="0.2">
      <c r="D95" s="3"/>
      <c r="E95" s="3"/>
      <c r="F95" s="91"/>
      <c r="G95" s="91"/>
      <c r="H95" s="2"/>
      <c r="I95" s="79"/>
      <c r="J95" s="79"/>
      <c r="K95" s="122"/>
      <c r="L95" s="123"/>
      <c r="V95" s="123"/>
      <c r="W95" s="124"/>
    </row>
    <row r="96" spans="3:33" x14ac:dyDescent="0.2">
      <c r="D96" s="3"/>
      <c r="E96" s="3"/>
      <c r="F96" s="91"/>
      <c r="G96" s="91"/>
      <c r="H96" s="2"/>
      <c r="I96" s="79"/>
      <c r="J96" s="79"/>
      <c r="K96" s="122"/>
      <c r="L96" s="123"/>
      <c r="V96" s="123"/>
      <c r="W96" s="124"/>
    </row>
    <row r="97" spans="4:23" x14ac:dyDescent="0.2">
      <c r="D97" s="3"/>
      <c r="E97" s="3"/>
      <c r="F97" s="91"/>
      <c r="G97" s="91"/>
      <c r="H97" s="2"/>
      <c r="I97" s="79"/>
      <c r="J97" s="79"/>
      <c r="K97" s="122"/>
      <c r="L97" s="123"/>
      <c r="V97" s="123"/>
      <c r="W97" s="124"/>
    </row>
    <row r="98" spans="4:23" x14ac:dyDescent="0.2">
      <c r="D98" s="3"/>
      <c r="E98" s="3"/>
      <c r="F98" s="91"/>
      <c r="G98" s="91"/>
      <c r="H98" s="2"/>
      <c r="I98" s="79"/>
      <c r="J98" s="79"/>
      <c r="K98" s="122"/>
      <c r="L98" s="123"/>
      <c r="V98" s="123"/>
      <c r="W98" s="124"/>
    </row>
    <row r="99" spans="4:23" x14ac:dyDescent="0.2">
      <c r="D99" s="3"/>
      <c r="E99" s="3"/>
      <c r="F99" s="91"/>
      <c r="G99" s="91"/>
      <c r="H99" s="2"/>
      <c r="I99" s="79"/>
      <c r="J99" s="79"/>
      <c r="K99" s="122"/>
      <c r="L99" s="123"/>
      <c r="V99" s="123"/>
      <c r="W99" s="124"/>
    </row>
    <row r="100" spans="4:23" x14ac:dyDescent="0.2">
      <c r="D100" s="3"/>
      <c r="E100" s="3"/>
      <c r="F100" s="91"/>
      <c r="G100" s="91"/>
      <c r="H100" s="2"/>
      <c r="I100" s="79"/>
      <c r="J100" s="79"/>
      <c r="K100" s="122"/>
      <c r="L100" s="123"/>
      <c r="V100" s="123"/>
      <c r="W100" s="124"/>
    </row>
    <row r="101" spans="4:23" x14ac:dyDescent="0.2">
      <c r="D101" s="3"/>
      <c r="E101" s="3"/>
      <c r="F101" s="91"/>
      <c r="G101" s="91"/>
      <c r="H101" s="2"/>
      <c r="I101" s="79"/>
      <c r="J101" s="79"/>
      <c r="K101" s="122"/>
      <c r="L101" s="123"/>
      <c r="V101" s="123"/>
      <c r="W101" s="124"/>
    </row>
    <row r="102" spans="4:23" x14ac:dyDescent="0.2">
      <c r="D102" s="3"/>
      <c r="E102" s="3"/>
      <c r="F102" s="91"/>
      <c r="G102" s="91"/>
      <c r="H102" s="2"/>
      <c r="I102" s="79"/>
      <c r="J102" s="79"/>
      <c r="K102" s="122"/>
      <c r="L102" s="123"/>
      <c r="V102" s="123"/>
      <c r="W102" s="124"/>
    </row>
    <row r="103" spans="4:23" x14ac:dyDescent="0.2">
      <c r="D103" s="3"/>
      <c r="E103" s="3"/>
      <c r="F103" s="91"/>
      <c r="G103" s="91"/>
      <c r="H103" s="2"/>
      <c r="I103" s="79"/>
      <c r="J103" s="79"/>
      <c r="K103" s="122"/>
      <c r="L103" s="123"/>
      <c r="V103" s="123"/>
      <c r="W103" s="124"/>
    </row>
    <row r="104" spans="4:23" x14ac:dyDescent="0.2">
      <c r="D104" s="3"/>
      <c r="E104" s="3"/>
      <c r="F104" s="91"/>
      <c r="G104" s="91"/>
      <c r="H104" s="2"/>
      <c r="I104" s="79"/>
      <c r="J104" s="79"/>
      <c r="K104" s="122"/>
      <c r="L104" s="123"/>
      <c r="V104" s="123"/>
      <c r="W104" s="124"/>
    </row>
    <row r="105" spans="4:23" x14ac:dyDescent="0.2">
      <c r="D105" s="3"/>
      <c r="E105" s="3"/>
      <c r="F105" s="91"/>
      <c r="G105" s="91"/>
      <c r="H105" s="2"/>
      <c r="I105" s="79"/>
      <c r="J105" s="79"/>
      <c r="K105" s="122"/>
      <c r="L105" s="123"/>
      <c r="V105" s="123"/>
      <c r="W105" s="124"/>
    </row>
    <row r="106" spans="4:23" x14ac:dyDescent="0.2">
      <c r="D106" s="3"/>
      <c r="E106" s="3"/>
      <c r="F106" s="91"/>
      <c r="G106" s="91"/>
      <c r="H106" s="2"/>
      <c r="I106" s="79"/>
      <c r="J106" s="79"/>
      <c r="K106" s="122"/>
      <c r="L106" s="123"/>
      <c r="V106" s="123"/>
      <c r="W106" s="124"/>
    </row>
    <row r="107" spans="4:23" x14ac:dyDescent="0.2">
      <c r="D107" s="3"/>
      <c r="E107" s="3"/>
      <c r="F107" s="91"/>
      <c r="G107" s="91"/>
      <c r="H107" s="2"/>
      <c r="I107" s="79"/>
      <c r="J107" s="79"/>
      <c r="K107" s="122"/>
      <c r="L107" s="123"/>
      <c r="V107" s="123"/>
      <c r="W107" s="124"/>
    </row>
    <row r="108" spans="4:23" x14ac:dyDescent="0.2">
      <c r="D108" s="3"/>
      <c r="E108" s="3"/>
      <c r="F108" s="91"/>
      <c r="G108" s="91"/>
      <c r="H108" s="2"/>
      <c r="I108" s="79"/>
      <c r="J108" s="79"/>
      <c r="K108" s="122"/>
      <c r="L108" s="123"/>
      <c r="V108" s="123"/>
      <c r="W108" s="124"/>
    </row>
    <row r="109" spans="4:23" x14ac:dyDescent="0.2">
      <c r="D109" s="3"/>
      <c r="E109" s="3"/>
      <c r="F109" s="91"/>
      <c r="G109" s="91"/>
      <c r="H109" s="2"/>
      <c r="I109" s="79"/>
      <c r="J109" s="79"/>
      <c r="K109" s="122"/>
      <c r="L109" s="123"/>
      <c r="V109" s="123"/>
      <c r="W109" s="124"/>
    </row>
    <row r="110" spans="4:23" x14ac:dyDescent="0.2">
      <c r="D110" s="3"/>
      <c r="E110" s="3"/>
      <c r="F110" s="91"/>
      <c r="G110" s="91"/>
      <c r="H110" s="2"/>
      <c r="I110" s="79"/>
      <c r="J110" s="79"/>
      <c r="K110" s="122"/>
      <c r="L110" s="123"/>
      <c r="V110" s="123"/>
      <c r="W110" s="124"/>
    </row>
    <row r="111" spans="4:23" x14ac:dyDescent="0.2">
      <c r="D111" s="3"/>
      <c r="E111" s="3"/>
      <c r="F111" s="91"/>
      <c r="G111" s="91"/>
      <c r="H111" s="2"/>
      <c r="I111" s="79"/>
      <c r="J111" s="79"/>
      <c r="K111" s="122"/>
      <c r="L111" s="123"/>
      <c r="V111" s="123"/>
      <c r="W111" s="124"/>
    </row>
    <row r="112" spans="4:23" x14ac:dyDescent="0.2">
      <c r="D112" s="3"/>
      <c r="E112" s="3"/>
      <c r="F112" s="91"/>
      <c r="G112" s="91"/>
      <c r="H112" s="2"/>
      <c r="I112" s="79"/>
      <c r="J112" s="79"/>
      <c r="K112" s="122"/>
      <c r="L112" s="123"/>
      <c r="V112" s="123"/>
      <c r="W112" s="124"/>
    </row>
    <row r="113" spans="4:23" x14ac:dyDescent="0.2">
      <c r="D113" s="3"/>
      <c r="E113" s="3"/>
      <c r="F113" s="91"/>
      <c r="G113" s="91"/>
      <c r="H113" s="2"/>
      <c r="I113" s="79"/>
      <c r="J113" s="79"/>
      <c r="K113" s="122"/>
      <c r="L113" s="123"/>
      <c r="V113" s="123"/>
      <c r="W113" s="124"/>
    </row>
    <row r="114" spans="4:23" x14ac:dyDescent="0.2">
      <c r="D114" s="3"/>
      <c r="E114" s="3"/>
      <c r="F114" s="91"/>
      <c r="G114" s="91"/>
      <c r="H114" s="2"/>
      <c r="I114" s="79"/>
      <c r="J114" s="79"/>
      <c r="K114" s="122"/>
      <c r="L114" s="123"/>
      <c r="V114" s="123"/>
      <c r="W114" s="124"/>
    </row>
    <row r="115" spans="4:23" x14ac:dyDescent="0.2">
      <c r="D115" s="3"/>
      <c r="E115" s="3"/>
      <c r="F115" s="91"/>
      <c r="G115" s="91"/>
      <c r="H115" s="2"/>
      <c r="I115" s="79"/>
      <c r="J115" s="79"/>
      <c r="K115" s="122"/>
      <c r="L115" s="123"/>
      <c r="V115" s="123"/>
      <c r="W115" s="124"/>
    </row>
    <row r="116" spans="4:23" x14ac:dyDescent="0.2">
      <c r="D116" s="3"/>
      <c r="E116" s="3"/>
      <c r="F116" s="91"/>
      <c r="G116" s="91"/>
      <c r="H116" s="2"/>
      <c r="I116" s="79"/>
      <c r="J116" s="79"/>
      <c r="K116" s="122"/>
      <c r="L116" s="123"/>
      <c r="V116" s="123"/>
      <c r="W116" s="124"/>
    </row>
    <row r="117" spans="4:23" x14ac:dyDescent="0.2">
      <c r="D117" s="3"/>
      <c r="E117" s="3"/>
      <c r="F117" s="91"/>
      <c r="G117" s="91"/>
      <c r="H117" s="2"/>
      <c r="I117" s="79"/>
      <c r="J117" s="79"/>
      <c r="K117" s="122"/>
      <c r="L117" s="123"/>
      <c r="V117" s="123"/>
      <c r="W117" s="124"/>
    </row>
    <row r="118" spans="4:23" x14ac:dyDescent="0.2">
      <c r="D118" s="3"/>
      <c r="E118" s="3"/>
      <c r="F118" s="91"/>
      <c r="G118" s="91"/>
      <c r="H118" s="2"/>
      <c r="I118" s="79"/>
      <c r="J118" s="79"/>
      <c r="K118" s="122"/>
      <c r="L118" s="123"/>
      <c r="V118" s="123"/>
      <c r="W118" s="124"/>
    </row>
    <row r="119" spans="4:23" x14ac:dyDescent="0.2">
      <c r="D119" s="3"/>
      <c r="E119" s="3"/>
      <c r="F119" s="91"/>
      <c r="G119" s="91"/>
      <c r="H119" s="2"/>
      <c r="I119" s="79"/>
      <c r="J119" s="79"/>
      <c r="K119" s="122"/>
      <c r="L119" s="123"/>
      <c r="V119" s="123"/>
      <c r="W119" s="124"/>
    </row>
    <row r="120" spans="4:23" x14ac:dyDescent="0.2">
      <c r="D120" s="3"/>
      <c r="E120" s="3"/>
      <c r="F120" s="91"/>
      <c r="G120" s="91"/>
      <c r="H120" s="2"/>
      <c r="I120" s="79"/>
      <c r="J120" s="79"/>
      <c r="K120" s="122"/>
      <c r="L120" s="123"/>
      <c r="V120" s="123"/>
      <c r="W120" s="124"/>
    </row>
    <row r="121" spans="4:23" x14ac:dyDescent="0.2">
      <c r="D121" s="3"/>
      <c r="E121" s="3"/>
      <c r="F121" s="91"/>
      <c r="G121" s="91"/>
      <c r="H121" s="2"/>
      <c r="I121" s="79"/>
      <c r="J121" s="79"/>
      <c r="K121" s="122"/>
      <c r="L121" s="123"/>
      <c r="V121" s="123"/>
      <c r="W121" s="124"/>
    </row>
    <row r="122" spans="4:23" x14ac:dyDescent="0.2">
      <c r="D122" s="3"/>
      <c r="E122" s="3"/>
      <c r="F122" s="91"/>
      <c r="G122" s="91"/>
      <c r="H122" s="2"/>
      <c r="I122" s="79"/>
      <c r="J122" s="79"/>
      <c r="K122" s="122"/>
      <c r="L122" s="123"/>
      <c r="V122" s="123"/>
      <c r="W122" s="124"/>
    </row>
    <row r="123" spans="4:23" x14ac:dyDescent="0.2">
      <c r="D123" s="3"/>
      <c r="E123" s="3"/>
      <c r="F123" s="91"/>
      <c r="G123" s="91"/>
      <c r="H123" s="2"/>
      <c r="I123" s="79"/>
      <c r="J123" s="79"/>
      <c r="K123" s="122"/>
      <c r="L123" s="123"/>
      <c r="V123" s="123"/>
      <c r="W123" s="124"/>
    </row>
    <row r="124" spans="4:23" x14ac:dyDescent="0.2">
      <c r="D124" s="3"/>
      <c r="E124" s="3"/>
      <c r="F124" s="91"/>
      <c r="G124" s="91"/>
      <c r="H124" s="2"/>
      <c r="I124" s="79"/>
      <c r="J124" s="79"/>
      <c r="K124" s="122"/>
      <c r="L124" s="123"/>
      <c r="V124" s="123"/>
      <c r="W124" s="124"/>
    </row>
    <row r="125" spans="4:23" x14ac:dyDescent="0.2">
      <c r="D125" s="3"/>
      <c r="E125" s="3"/>
      <c r="F125" s="91"/>
      <c r="G125" s="91"/>
      <c r="H125" s="2"/>
      <c r="I125" s="79"/>
      <c r="J125" s="79"/>
      <c r="K125" s="122"/>
      <c r="L125" s="123"/>
      <c r="V125" s="123"/>
      <c r="W125" s="124"/>
    </row>
    <row r="126" spans="4:23" x14ac:dyDescent="0.2">
      <c r="D126" s="3"/>
      <c r="E126" s="3"/>
      <c r="F126" s="91"/>
      <c r="G126" s="91"/>
      <c r="H126" s="2"/>
      <c r="I126" s="79"/>
      <c r="J126" s="79"/>
      <c r="K126" s="122"/>
      <c r="L126" s="123"/>
      <c r="V126" s="123"/>
      <c r="W126" s="124"/>
    </row>
    <row r="127" spans="4:23" x14ac:dyDescent="0.2">
      <c r="D127" s="3"/>
      <c r="E127" s="3"/>
      <c r="F127" s="91"/>
      <c r="G127" s="91"/>
      <c r="H127" s="2"/>
      <c r="I127" s="79"/>
      <c r="J127" s="79"/>
      <c r="K127" s="122"/>
      <c r="L127" s="123"/>
      <c r="V127" s="123"/>
      <c r="W127" s="124"/>
    </row>
    <row r="128" spans="4:23" x14ac:dyDescent="0.2">
      <c r="D128" s="3"/>
      <c r="E128" s="3"/>
      <c r="F128" s="91"/>
      <c r="G128" s="91"/>
      <c r="H128" s="2"/>
      <c r="I128" s="79"/>
      <c r="J128" s="79"/>
      <c r="K128" s="122"/>
      <c r="L128" s="123"/>
      <c r="V128" s="123"/>
      <c r="W128" s="124"/>
    </row>
    <row r="129" spans="4:23" x14ac:dyDescent="0.2">
      <c r="D129" s="3"/>
      <c r="E129" s="3"/>
      <c r="F129" s="91"/>
      <c r="G129" s="91"/>
      <c r="H129" s="2"/>
      <c r="I129" s="79"/>
      <c r="J129" s="79"/>
      <c r="K129" s="122"/>
      <c r="L129" s="123"/>
      <c r="V129" s="123"/>
      <c r="W129" s="124"/>
    </row>
    <row r="130" spans="4:23" x14ac:dyDescent="0.2">
      <c r="D130" s="3"/>
      <c r="E130" s="3"/>
      <c r="F130" s="91"/>
      <c r="G130" s="91"/>
      <c r="H130" s="2"/>
      <c r="I130" s="79"/>
      <c r="J130" s="79"/>
      <c r="K130" s="122"/>
      <c r="L130" s="123"/>
      <c r="V130" s="123"/>
      <c r="W130" s="124"/>
    </row>
    <row r="131" spans="4:23" x14ac:dyDescent="0.2">
      <c r="D131" s="3"/>
      <c r="E131" s="3"/>
      <c r="F131" s="91"/>
      <c r="G131" s="91"/>
      <c r="H131" s="2"/>
      <c r="I131" s="79"/>
      <c r="J131" s="79"/>
      <c r="K131" s="122"/>
      <c r="L131" s="123"/>
      <c r="V131" s="123"/>
      <c r="W131" s="124"/>
    </row>
    <row r="132" spans="4:23" x14ac:dyDescent="0.2">
      <c r="D132" s="3"/>
      <c r="E132" s="3"/>
      <c r="F132" s="91"/>
      <c r="G132" s="91"/>
      <c r="H132" s="2"/>
      <c r="I132" s="79"/>
      <c r="J132" s="79"/>
      <c r="K132" s="122"/>
      <c r="L132" s="123"/>
      <c r="V132" s="123"/>
      <c r="W132" s="124"/>
    </row>
    <row r="133" spans="4:23" x14ac:dyDescent="0.2">
      <c r="D133" s="3"/>
      <c r="E133" s="3"/>
      <c r="F133" s="91"/>
      <c r="G133" s="91"/>
      <c r="H133" s="2"/>
      <c r="I133" s="79"/>
      <c r="J133" s="79"/>
      <c r="K133" s="122"/>
      <c r="L133" s="121"/>
    </row>
    <row r="134" spans="4:23" x14ac:dyDescent="0.2">
      <c r="D134" s="3"/>
      <c r="E134" s="3"/>
      <c r="F134" s="91"/>
      <c r="G134" s="91"/>
      <c r="H134" s="2"/>
      <c r="I134" s="79"/>
      <c r="J134" s="79"/>
      <c r="K134" s="122"/>
    </row>
    <row r="135" spans="4:23" x14ac:dyDescent="0.2">
      <c r="D135" s="3"/>
      <c r="E135" s="3"/>
      <c r="F135" s="91"/>
      <c r="G135" s="91"/>
      <c r="H135" s="2"/>
      <c r="I135" s="79"/>
      <c r="J135" s="79"/>
      <c r="K135" s="93"/>
    </row>
    <row r="136" spans="4:23" x14ac:dyDescent="0.2">
      <c r="D136" s="3"/>
      <c r="E136" s="3"/>
      <c r="F136" s="91"/>
      <c r="G136" s="91"/>
      <c r="H136" s="2"/>
      <c r="I136" s="79"/>
      <c r="J136" s="79"/>
      <c r="K136" s="121"/>
    </row>
    <row r="137" spans="4:23" x14ac:dyDescent="0.2">
      <c r="D137" s="3"/>
      <c r="E137" s="3"/>
      <c r="F137" s="76"/>
      <c r="G137" s="91"/>
      <c r="H137" s="2"/>
      <c r="I137" s="2"/>
    </row>
    <row r="138" spans="4:23" x14ac:dyDescent="0.2">
      <c r="D138" s="3"/>
      <c r="E138" s="3"/>
      <c r="F138" s="76"/>
      <c r="G138" s="91"/>
      <c r="H138" s="2"/>
      <c r="I138" s="2"/>
    </row>
    <row r="139" spans="4:23" x14ac:dyDescent="0.2">
      <c r="D139" s="3"/>
      <c r="E139" s="3"/>
      <c r="F139" s="76"/>
      <c r="H139" s="2"/>
      <c r="I139" s="2"/>
    </row>
    <row r="140" spans="4:23" x14ac:dyDescent="0.2">
      <c r="E140" s="3"/>
      <c r="F140" s="76"/>
    </row>
  </sheetData>
  <mergeCells count="3">
    <mergeCell ref="A1:K1"/>
    <mergeCell ref="M1:V1"/>
    <mergeCell ref="X1:AH1"/>
  </mergeCells>
  <pageMargins left="0.7" right="0.7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AT1120"/>
  <sheetViews>
    <sheetView zoomScaleNormal="100" workbookViewId="0">
      <pane xSplit="1" topLeftCell="B1" activePane="topRight" state="frozen"/>
      <selection pane="topRight"/>
    </sheetView>
  </sheetViews>
  <sheetFormatPr defaultRowHeight="14.25" x14ac:dyDescent="0.2"/>
  <cols>
    <col min="1" max="1" width="10.75" customWidth="1"/>
    <col min="2" max="2" width="16.625" style="5" customWidth="1"/>
    <col min="3" max="3" width="27.375" style="5" customWidth="1"/>
    <col min="4" max="4" width="16.625" style="5" customWidth="1"/>
    <col min="5" max="5" width="16.625" style="5" hidden="1" customWidth="1"/>
    <col min="6" max="6" width="16.625" style="64" customWidth="1"/>
    <col min="7" max="7" width="16.625" style="63" customWidth="1"/>
    <col min="8" max="9" width="16.625" style="5" customWidth="1"/>
    <col min="10" max="10" width="16.625" style="63" customWidth="1"/>
    <col min="11" max="15" width="16.625" style="5" customWidth="1"/>
    <col min="16" max="16" width="16.625" customWidth="1"/>
    <col min="17" max="17" width="16.625" style="5" customWidth="1"/>
    <col min="18" max="18" width="25.875" style="5" customWidth="1"/>
    <col min="19" max="29" width="16.625" style="5" customWidth="1"/>
    <col min="30" max="30" width="16.625" style="4" customWidth="1"/>
    <col min="31" max="43" width="16.625" style="5" customWidth="1"/>
    <col min="44" max="44" width="16.625" customWidth="1"/>
  </cols>
  <sheetData>
    <row r="1" spans="1:46" s="3" customFormat="1" ht="22.5" x14ac:dyDescent="0.3">
      <c r="B1" s="308" t="s">
        <v>58</v>
      </c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308"/>
      <c r="O1" s="308"/>
      <c r="Q1" s="308"/>
      <c r="R1" s="308"/>
      <c r="S1" s="308"/>
      <c r="T1" s="308"/>
      <c r="U1" s="308"/>
      <c r="V1" s="308"/>
      <c r="W1" s="308"/>
      <c r="X1" s="308"/>
      <c r="Y1" s="308"/>
      <c r="Z1" s="308"/>
      <c r="AA1" s="308"/>
      <c r="AB1" s="308"/>
      <c r="AC1" s="308"/>
      <c r="AE1" s="308"/>
      <c r="AF1" s="308"/>
      <c r="AG1" s="308"/>
      <c r="AH1" s="308"/>
      <c r="AI1" s="308"/>
      <c r="AJ1" s="308"/>
      <c r="AK1" s="308"/>
      <c r="AL1" s="308"/>
      <c r="AM1" s="308"/>
      <c r="AN1" s="308"/>
      <c r="AO1" s="308"/>
      <c r="AP1" s="308"/>
      <c r="AQ1" s="308"/>
    </row>
    <row r="2" spans="1:46" ht="28.5" x14ac:dyDescent="0.2">
      <c r="A2" t="s">
        <v>1</v>
      </c>
      <c r="B2" s="16" t="s">
        <v>22</v>
      </c>
      <c r="C2" s="16" t="s">
        <v>96</v>
      </c>
      <c r="D2" s="5" t="s">
        <v>26</v>
      </c>
      <c r="E2" s="5" t="s">
        <v>25</v>
      </c>
      <c r="F2" s="64" t="s">
        <v>28</v>
      </c>
      <c r="G2" s="5" t="s">
        <v>26</v>
      </c>
      <c r="H2" s="5" t="s">
        <v>25</v>
      </c>
      <c r="I2" s="5" t="s">
        <v>28</v>
      </c>
      <c r="J2" s="5" t="s">
        <v>28</v>
      </c>
      <c r="K2" s="5" t="s">
        <v>29</v>
      </c>
      <c r="L2" s="5" t="s">
        <v>29</v>
      </c>
      <c r="M2" s="5" t="s">
        <v>29</v>
      </c>
      <c r="N2" s="5" t="s">
        <v>29</v>
      </c>
      <c r="O2" s="16" t="s">
        <v>45</v>
      </c>
      <c r="P2" s="4"/>
      <c r="Q2" s="16" t="s">
        <v>22</v>
      </c>
      <c r="R2" s="16" t="s">
        <v>96</v>
      </c>
      <c r="S2" s="5" t="s">
        <v>26</v>
      </c>
      <c r="T2" s="5" t="s">
        <v>25</v>
      </c>
      <c r="U2" s="5" t="s">
        <v>26</v>
      </c>
      <c r="V2" s="5" t="s">
        <v>25</v>
      </c>
      <c r="W2" s="5" t="s">
        <v>28</v>
      </c>
      <c r="X2" s="5" t="s">
        <v>28</v>
      </c>
      <c r="Y2" s="5" t="s">
        <v>29</v>
      </c>
      <c r="Z2" s="5" t="s">
        <v>29</v>
      </c>
      <c r="AA2" s="5" t="s">
        <v>29</v>
      </c>
      <c r="AB2" s="5" t="s">
        <v>29</v>
      </c>
      <c r="AC2" s="16" t="s">
        <v>45</v>
      </c>
      <c r="AE2" s="16" t="s">
        <v>22</v>
      </c>
      <c r="AF2" s="5" t="s">
        <v>24</v>
      </c>
      <c r="AG2" s="5" t="s">
        <v>26</v>
      </c>
      <c r="AH2" s="5" t="s">
        <v>25</v>
      </c>
      <c r="AI2" s="5" t="s">
        <v>26</v>
      </c>
      <c r="AJ2" s="5" t="s">
        <v>25</v>
      </c>
      <c r="AK2" s="5" t="s">
        <v>28</v>
      </c>
      <c r="AL2" s="5" t="s">
        <v>28</v>
      </c>
      <c r="AM2" s="5" t="s">
        <v>29</v>
      </c>
      <c r="AN2" s="5" t="s">
        <v>29</v>
      </c>
      <c r="AO2" s="5" t="s">
        <v>29</v>
      </c>
      <c r="AP2" s="5" t="s">
        <v>29</v>
      </c>
      <c r="AQ2" s="16" t="s">
        <v>45</v>
      </c>
      <c r="AR2" s="4"/>
    </row>
    <row r="3" spans="1:46" ht="28.5" x14ac:dyDescent="0.2">
      <c r="A3" t="s">
        <v>2</v>
      </c>
      <c r="B3" s="5" t="s">
        <v>23</v>
      </c>
      <c r="C3" s="5" t="s">
        <v>95</v>
      </c>
      <c r="E3" s="16" t="s">
        <v>65</v>
      </c>
      <c r="F3" s="16" t="s">
        <v>65</v>
      </c>
      <c r="G3" s="5"/>
      <c r="H3" s="16" t="s">
        <v>65</v>
      </c>
      <c r="I3" s="16" t="s">
        <v>65</v>
      </c>
      <c r="J3" s="16" t="s">
        <v>65</v>
      </c>
      <c r="K3" s="5" t="s">
        <v>30</v>
      </c>
      <c r="L3" s="5" t="s">
        <v>30</v>
      </c>
      <c r="M3" s="5" t="s">
        <v>30</v>
      </c>
      <c r="N3" s="5" t="s">
        <v>30</v>
      </c>
      <c r="P3" s="4"/>
      <c r="Q3" s="5" t="s">
        <v>23</v>
      </c>
      <c r="R3" s="5" t="s">
        <v>95</v>
      </c>
      <c r="T3" s="16" t="s">
        <v>65</v>
      </c>
      <c r="V3" s="16" t="s">
        <v>65</v>
      </c>
      <c r="W3" s="16" t="s">
        <v>65</v>
      </c>
      <c r="X3" s="16" t="s">
        <v>65</v>
      </c>
      <c r="Y3" s="5" t="s">
        <v>30</v>
      </c>
      <c r="Z3" s="5" t="s">
        <v>30</v>
      </c>
      <c r="AA3" s="5" t="s">
        <v>30</v>
      </c>
      <c r="AB3" s="5" t="s">
        <v>30</v>
      </c>
      <c r="AE3" s="5" t="s">
        <v>23</v>
      </c>
      <c r="AH3" s="16" t="s">
        <v>65</v>
      </c>
      <c r="AJ3" s="16" t="s">
        <v>65</v>
      </c>
      <c r="AK3" s="16" t="s">
        <v>65</v>
      </c>
      <c r="AL3" s="16" t="s">
        <v>65</v>
      </c>
      <c r="AM3" s="5" t="s">
        <v>30</v>
      </c>
      <c r="AN3" s="5" t="s">
        <v>30</v>
      </c>
      <c r="AO3" s="5" t="s">
        <v>30</v>
      </c>
      <c r="AP3" s="5" t="s">
        <v>30</v>
      </c>
      <c r="AR3" s="4"/>
    </row>
    <row r="4" spans="1:46" x14ac:dyDescent="0.2">
      <c r="A4" t="s">
        <v>32</v>
      </c>
      <c r="C4" s="5">
        <v>1</v>
      </c>
      <c r="D4" s="5">
        <v>1</v>
      </c>
      <c r="E4" s="5">
        <v>1</v>
      </c>
      <c r="F4" s="64">
        <v>1</v>
      </c>
      <c r="G4" s="5">
        <v>1</v>
      </c>
      <c r="H4" s="5">
        <v>1</v>
      </c>
      <c r="J4" s="5"/>
      <c r="N4" s="5">
        <v>2</v>
      </c>
      <c r="P4" s="4"/>
      <c r="S4" s="5">
        <v>1</v>
      </c>
      <c r="T4" s="5">
        <v>1</v>
      </c>
      <c r="U4" s="5">
        <v>1</v>
      </c>
      <c r="V4" s="5">
        <v>1</v>
      </c>
      <c r="AB4" s="5">
        <v>2</v>
      </c>
      <c r="AF4" s="5">
        <v>1</v>
      </c>
      <c r="AG4" s="5">
        <v>1</v>
      </c>
      <c r="AH4" s="5">
        <v>1</v>
      </c>
      <c r="AI4" s="5">
        <v>1</v>
      </c>
      <c r="AJ4" s="5">
        <v>1</v>
      </c>
      <c r="AP4" s="5">
        <v>2</v>
      </c>
      <c r="AR4" s="4"/>
    </row>
    <row r="5" spans="1:46" s="3" customFormat="1" x14ac:dyDescent="0.2">
      <c r="A5" s="3" t="s">
        <v>31</v>
      </c>
      <c r="B5" s="5"/>
      <c r="C5" s="5"/>
      <c r="D5" s="5"/>
      <c r="E5" s="5"/>
      <c r="F5" s="64"/>
      <c r="G5" s="5">
        <v>-1</v>
      </c>
      <c r="H5" s="5">
        <v>-1</v>
      </c>
      <c r="I5" s="6"/>
      <c r="J5" s="6" t="s">
        <v>99</v>
      </c>
      <c r="K5" s="5"/>
      <c r="L5" s="5">
        <v>-1</v>
      </c>
      <c r="M5" s="5">
        <v>-2</v>
      </c>
      <c r="N5" s="5"/>
      <c r="O5" s="5"/>
      <c r="P5" s="4"/>
      <c r="Q5" s="5"/>
      <c r="R5" s="5"/>
      <c r="S5" s="5"/>
      <c r="T5" s="5"/>
      <c r="U5" s="5">
        <v>-1</v>
      </c>
      <c r="V5" s="5">
        <v>-1</v>
      </c>
      <c r="W5" s="5"/>
      <c r="X5" s="6" t="s">
        <v>99</v>
      </c>
      <c r="Y5" s="5"/>
      <c r="Z5" s="5">
        <v>-1</v>
      </c>
      <c r="AA5" s="5">
        <v>-2</v>
      </c>
      <c r="AB5" s="5"/>
      <c r="AC5" s="5"/>
      <c r="AD5" s="4"/>
      <c r="AE5" s="5"/>
      <c r="AF5" s="5"/>
      <c r="AG5" s="5"/>
      <c r="AH5" s="5"/>
      <c r="AI5" s="5">
        <v>-1</v>
      </c>
      <c r="AJ5" s="5">
        <v>-1</v>
      </c>
      <c r="AK5" s="5">
        <v>-1</v>
      </c>
      <c r="AL5" s="6"/>
      <c r="AM5" s="5"/>
      <c r="AN5" s="5">
        <v>-1</v>
      </c>
      <c r="AO5" s="5">
        <v>-2</v>
      </c>
      <c r="AP5" s="5"/>
      <c r="AQ5" s="5"/>
      <c r="AR5" s="4"/>
    </row>
    <row r="6" spans="1:46" x14ac:dyDescent="0.2">
      <c r="A6" t="s">
        <v>27</v>
      </c>
      <c r="B6" s="5" t="s">
        <v>12</v>
      </c>
      <c r="C6" s="5" t="s">
        <v>13</v>
      </c>
      <c r="D6" s="5" t="s">
        <v>14</v>
      </c>
      <c r="E6" s="5" t="s">
        <v>15</v>
      </c>
      <c r="F6" s="64" t="s">
        <v>15</v>
      </c>
      <c r="G6" s="5" t="s">
        <v>16</v>
      </c>
      <c r="H6" s="5" t="s">
        <v>17</v>
      </c>
      <c r="I6" s="5" t="s">
        <v>98</v>
      </c>
      <c r="J6" s="5" t="s">
        <v>97</v>
      </c>
      <c r="K6" s="5" t="s">
        <v>18</v>
      </c>
      <c r="L6" s="5" t="s">
        <v>19</v>
      </c>
      <c r="M6" s="5" t="s">
        <v>20</v>
      </c>
      <c r="N6" s="5" t="s">
        <v>21</v>
      </c>
      <c r="O6" s="5" t="s">
        <v>46</v>
      </c>
      <c r="P6" s="4"/>
      <c r="Q6" s="5" t="s">
        <v>12</v>
      </c>
      <c r="R6" s="5" t="s">
        <v>13</v>
      </c>
      <c r="S6" s="5" t="s">
        <v>14</v>
      </c>
      <c r="T6" s="5" t="s">
        <v>15</v>
      </c>
      <c r="U6" s="5" t="s">
        <v>16</v>
      </c>
      <c r="V6" s="5" t="s">
        <v>17</v>
      </c>
      <c r="W6" s="5" t="s">
        <v>101</v>
      </c>
      <c r="X6" s="5" t="s">
        <v>100</v>
      </c>
      <c r="Y6" s="5" t="s">
        <v>18</v>
      </c>
      <c r="Z6" s="5" t="s">
        <v>19</v>
      </c>
      <c r="AA6" s="5" t="s">
        <v>20</v>
      </c>
      <c r="AB6" s="5" t="s">
        <v>21</v>
      </c>
      <c r="AC6" s="5" t="s">
        <v>46</v>
      </c>
      <c r="AE6" s="5" t="s">
        <v>12</v>
      </c>
      <c r="AF6" s="5" t="s">
        <v>13</v>
      </c>
      <c r="AG6" s="5" t="s">
        <v>14</v>
      </c>
      <c r="AH6" s="5" t="s">
        <v>15</v>
      </c>
      <c r="AI6" s="5" t="s">
        <v>16</v>
      </c>
      <c r="AJ6" s="5" t="s">
        <v>17</v>
      </c>
      <c r="AK6" s="5" t="s">
        <v>33</v>
      </c>
      <c r="AL6" s="5" t="s">
        <v>34</v>
      </c>
      <c r="AM6" s="5" t="s">
        <v>18</v>
      </c>
      <c r="AN6" s="5" t="s">
        <v>19</v>
      </c>
      <c r="AO6" s="5" t="s">
        <v>20</v>
      </c>
      <c r="AP6" s="5" t="s">
        <v>21</v>
      </c>
      <c r="AQ6" s="5" t="s">
        <v>46</v>
      </c>
      <c r="AR6" s="4"/>
    </row>
    <row r="7" spans="1:46" x14ac:dyDescent="0.2">
      <c r="A7" s="31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3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3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 t="s">
        <v>108</v>
      </c>
      <c r="AR7" s="23"/>
    </row>
    <row r="8" spans="1:46" ht="15" thickBot="1" x14ac:dyDescent="0.25">
      <c r="A8" s="32" t="s">
        <v>0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8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8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 t="s">
        <v>92</v>
      </c>
      <c r="AR8" s="28"/>
    </row>
    <row r="9" spans="1:46" ht="15" thickTop="1" x14ac:dyDescent="0.2">
      <c r="A9" s="1">
        <v>1960</v>
      </c>
      <c r="G9" s="5"/>
      <c r="I9" s="63"/>
      <c r="J9" s="5"/>
      <c r="P9" s="4"/>
      <c r="AR9" s="4"/>
    </row>
    <row r="10" spans="1:46" x14ac:dyDescent="0.2">
      <c r="A10" s="1">
        <v>1961</v>
      </c>
      <c r="B10" s="63"/>
      <c r="C10" s="63"/>
      <c r="D10" s="63"/>
      <c r="E10" s="63"/>
      <c r="H10" s="63"/>
      <c r="I10" s="63"/>
      <c r="K10" s="63"/>
      <c r="L10" s="63"/>
      <c r="M10" s="63"/>
      <c r="N10" s="63"/>
      <c r="P10" s="4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R10" s="4"/>
    </row>
    <row r="11" spans="1:46" x14ac:dyDescent="0.2">
      <c r="A11" s="1">
        <v>1962</v>
      </c>
      <c r="G11" s="8"/>
      <c r="H11" s="8"/>
      <c r="I11" s="63"/>
      <c r="J11" s="5"/>
      <c r="P11" s="4"/>
      <c r="AR11" s="4"/>
    </row>
    <row r="12" spans="1:46" ht="15" x14ac:dyDescent="0.25">
      <c r="A12" s="1">
        <v>1963</v>
      </c>
      <c r="B12" s="5">
        <v>1.7000000000000002</v>
      </c>
      <c r="C12" s="8">
        <v>1.5843984616066075E-2</v>
      </c>
      <c r="D12" s="8">
        <v>-2.2493408894388445E-3</v>
      </c>
      <c r="E12" s="8">
        <v>-5.1828335275516668E-3</v>
      </c>
      <c r="F12" s="8">
        <v>-5.1828335275516668E-3</v>
      </c>
      <c r="G12" s="8">
        <v>2.6370357765594266E-2</v>
      </c>
      <c r="H12" s="8">
        <v>-2.188879563341084E-2</v>
      </c>
      <c r="I12" s="8">
        <v>2.8888960575389033E-2</v>
      </c>
      <c r="J12" s="8">
        <v>3.40717941029407E-2</v>
      </c>
      <c r="K12" s="8">
        <v>-0.75859634907306384</v>
      </c>
      <c r="L12" s="8">
        <v>-0.78451879656474843</v>
      </c>
      <c r="M12" s="8">
        <v>-0.82948946906857191</v>
      </c>
      <c r="N12" s="8">
        <v>-1.9048225012138875E-2</v>
      </c>
      <c r="P12" s="4"/>
      <c r="Q12" s="8">
        <v>1.7000000000000002</v>
      </c>
      <c r="R12" s="8">
        <v>1.5843984616066075E-2</v>
      </c>
      <c r="S12" s="8">
        <v>-2.2493408894388445E-3</v>
      </c>
      <c r="T12" s="8">
        <v>-5.1828335275516668E-3</v>
      </c>
      <c r="U12" s="8">
        <v>2.6370357765594266E-2</v>
      </c>
      <c r="V12" s="8">
        <v>-2.188879563341084E-2</v>
      </c>
      <c r="W12" s="8">
        <v>2.8888960575389033E-2</v>
      </c>
      <c r="X12" s="8">
        <v>3.40717941029407E-2</v>
      </c>
      <c r="Y12" s="8">
        <v>-0.75859634907306384</v>
      </c>
      <c r="Z12" s="8">
        <v>-0.78451879656474843</v>
      </c>
      <c r="AA12" s="8">
        <v>-0.82948946906857191</v>
      </c>
      <c r="AB12" s="8">
        <v>-1.9048225012138875E-2</v>
      </c>
      <c r="AC12" s="47"/>
      <c r="AE12" s="12">
        <f t="shared" ref="AE12:AE43" si="0">(B12-Q12)/B12</f>
        <v>0</v>
      </c>
      <c r="AF12" s="12">
        <f t="shared" ref="AF12:AF43" si="1">(C12-R12)/C12</f>
        <v>0</v>
      </c>
      <c r="AG12" s="12">
        <f t="shared" ref="AG12:AG43" si="2">(D12-S12)/D12</f>
        <v>0</v>
      </c>
      <c r="AH12" s="12">
        <f t="shared" ref="AH12:AH43" si="3">(E12-T12)/E12</f>
        <v>0</v>
      </c>
      <c r="AI12" s="12">
        <f t="shared" ref="AI12:AI43" si="4">(G12-U12)/G12</f>
        <v>0</v>
      </c>
      <c r="AJ12" s="12">
        <f t="shared" ref="AJ12:AJ43" si="5">(H12-V12)/H12</f>
        <v>0</v>
      </c>
      <c r="AK12" s="12">
        <f t="shared" ref="AK12:AK43" si="6">(I12-W12)/I12</f>
        <v>0</v>
      </c>
      <c r="AL12" s="12">
        <f t="shared" ref="AL12:AL43" si="7">(J12-X12)/J12</f>
        <v>0</v>
      </c>
      <c r="AM12" s="12">
        <f t="shared" ref="AM12:AM43" si="8">(K12-Y12)/K12</f>
        <v>0</v>
      </c>
      <c r="AN12" s="12">
        <f t="shared" ref="AN12:AN43" si="9">(L12-Z12)/L12</f>
        <v>0</v>
      </c>
      <c r="AO12" s="12">
        <f t="shared" ref="AO12:AO43" si="10">(M12-AA12)/M12</f>
        <v>0</v>
      </c>
      <c r="AP12" s="12">
        <f t="shared" ref="AP12:AP43" si="11">(N12-AB12)/N12</f>
        <v>0</v>
      </c>
      <c r="AQ12" s="12"/>
      <c r="AR12" s="4"/>
      <c r="AS12" s="3"/>
      <c r="AT12" s="3"/>
    </row>
    <row r="13" spans="1:46" ht="15" x14ac:dyDescent="0.25">
      <c r="A13" s="1">
        <v>1964</v>
      </c>
      <c r="B13" s="5">
        <v>1.7000000000000002</v>
      </c>
      <c r="C13" s="8">
        <v>4.1933150603531186E-2</v>
      </c>
      <c r="D13" s="8">
        <v>8.7403536899186562E-3</v>
      </c>
      <c r="E13" s="8">
        <v>2.3935847083678574E-2</v>
      </c>
      <c r="F13" s="8">
        <v>2.3935847083678574E-2</v>
      </c>
      <c r="G13" s="8">
        <v>-2.2493408894388445E-3</v>
      </c>
      <c r="H13" s="8">
        <v>-5.1828335275516668E-3</v>
      </c>
      <c r="I13" s="8">
        <v>5.2824807659067607E-2</v>
      </c>
      <c r="J13" s="8">
        <v>2.8888960575389033E-2</v>
      </c>
      <c r="K13" s="8">
        <v>-0.72092813695507296</v>
      </c>
      <c r="L13" s="8">
        <v>-0.75859634907306384</v>
      </c>
      <c r="M13" s="8">
        <v>-0.78451879656474843</v>
      </c>
      <c r="N13" s="8">
        <v>1.1745764626306276E-2</v>
      </c>
      <c r="P13" s="4"/>
      <c r="Q13" s="8">
        <v>1.7000000000000002</v>
      </c>
      <c r="R13" s="8">
        <v>4.1933150603531186E-2</v>
      </c>
      <c r="S13" s="8">
        <v>8.7403536899186562E-3</v>
      </c>
      <c r="T13" s="8">
        <v>2.3935847083678574E-2</v>
      </c>
      <c r="U13" s="8">
        <v>-2.2493408894388445E-3</v>
      </c>
      <c r="V13" s="8">
        <v>-5.1828335275516668E-3</v>
      </c>
      <c r="W13" s="8">
        <v>5.2824807659067607E-2</v>
      </c>
      <c r="X13" s="8">
        <v>2.8888960575389033E-2</v>
      </c>
      <c r="Y13" s="8">
        <v>-0.72092813695507296</v>
      </c>
      <c r="Z13" s="8">
        <v>-0.75859634907306384</v>
      </c>
      <c r="AA13" s="8">
        <v>-0.78451879656474843</v>
      </c>
      <c r="AB13" s="8">
        <v>1.1745764626306276E-2</v>
      </c>
      <c r="AC13" s="47"/>
      <c r="AE13" s="12">
        <f t="shared" si="0"/>
        <v>0</v>
      </c>
      <c r="AF13" s="12">
        <f t="shared" si="1"/>
        <v>0</v>
      </c>
      <c r="AG13" s="12">
        <f t="shared" si="2"/>
        <v>0</v>
      </c>
      <c r="AH13" s="12">
        <f t="shared" si="3"/>
        <v>0</v>
      </c>
      <c r="AI13" s="12">
        <f t="shared" si="4"/>
        <v>0</v>
      </c>
      <c r="AJ13" s="12">
        <f t="shared" si="5"/>
        <v>0</v>
      </c>
      <c r="AK13" s="12">
        <f t="shared" si="6"/>
        <v>0</v>
      </c>
      <c r="AL13" s="12">
        <f t="shared" si="7"/>
        <v>0</v>
      </c>
      <c r="AM13" s="12">
        <f t="shared" si="8"/>
        <v>0</v>
      </c>
      <c r="AN13" s="12">
        <f t="shared" si="9"/>
        <v>0</v>
      </c>
      <c r="AO13" s="12">
        <f t="shared" si="10"/>
        <v>0</v>
      </c>
      <c r="AP13" s="12">
        <f t="shared" si="11"/>
        <v>0</v>
      </c>
      <c r="AQ13" s="12"/>
      <c r="AR13" s="4"/>
      <c r="AS13" s="3"/>
    </row>
    <row r="14" spans="1:46" ht="15" x14ac:dyDescent="0.25">
      <c r="A14" s="1">
        <v>1965</v>
      </c>
      <c r="B14" s="5">
        <v>1.5</v>
      </c>
      <c r="C14" s="8">
        <v>-5.435939894478347E-2</v>
      </c>
      <c r="D14" s="8">
        <v>-1.4950337114324475E-2</v>
      </c>
      <c r="E14" s="8">
        <v>-1.1924258961729883E-2</v>
      </c>
      <c r="F14" s="8">
        <v>-1.1924258961729883E-2</v>
      </c>
      <c r="G14" s="8">
        <v>8.7403536899186562E-3</v>
      </c>
      <c r="H14" s="8">
        <v>2.3935847083678574E-2</v>
      </c>
      <c r="I14" s="8">
        <v>4.0900548697337724E-2</v>
      </c>
      <c r="J14" s="8">
        <v>5.2824807659067607E-2</v>
      </c>
      <c r="K14" s="8">
        <v>-0.70929019428705642</v>
      </c>
      <c r="L14" s="8">
        <v>-0.72092813695507296</v>
      </c>
      <c r="M14" s="8">
        <v>-0.75859634907306384</v>
      </c>
      <c r="N14" s="8">
        <v>-2.603026944997433E-2</v>
      </c>
      <c r="P14" s="4"/>
      <c r="Q14" s="8">
        <v>1.5</v>
      </c>
      <c r="R14" s="8">
        <v>-5.435939894478347E-2</v>
      </c>
      <c r="S14" s="8">
        <v>-1.4950337114324475E-2</v>
      </c>
      <c r="T14" s="8">
        <v>-1.1924258961729883E-2</v>
      </c>
      <c r="U14" s="8">
        <v>8.7403536899186562E-3</v>
      </c>
      <c r="V14" s="8">
        <v>2.3935847083678574E-2</v>
      </c>
      <c r="W14" s="8">
        <v>4.0900548697337724E-2</v>
      </c>
      <c r="X14" s="8">
        <v>5.2824807659067607E-2</v>
      </c>
      <c r="Y14" s="8">
        <v>-0.70929019428705642</v>
      </c>
      <c r="Z14" s="8">
        <v>-0.72092813695507296</v>
      </c>
      <c r="AA14" s="8">
        <v>-0.75859634907306384</v>
      </c>
      <c r="AB14" s="8">
        <v>-2.603026944997433E-2</v>
      </c>
      <c r="AC14" s="47"/>
      <c r="AE14" s="12">
        <f t="shared" si="0"/>
        <v>0</v>
      </c>
      <c r="AF14" s="12">
        <f t="shared" si="1"/>
        <v>0</v>
      </c>
      <c r="AG14" s="12">
        <f t="shared" si="2"/>
        <v>0</v>
      </c>
      <c r="AH14" s="12">
        <f t="shared" si="3"/>
        <v>0</v>
      </c>
      <c r="AI14" s="12">
        <f t="shared" si="4"/>
        <v>0</v>
      </c>
      <c r="AJ14" s="12">
        <f t="shared" si="5"/>
        <v>0</v>
      </c>
      <c r="AK14" s="12">
        <f t="shared" si="6"/>
        <v>0</v>
      </c>
      <c r="AL14" s="12">
        <f t="shared" si="7"/>
        <v>0</v>
      </c>
      <c r="AM14" s="12">
        <f t="shared" si="8"/>
        <v>0</v>
      </c>
      <c r="AN14" s="12">
        <f t="shared" si="9"/>
        <v>0</v>
      </c>
      <c r="AO14" s="12">
        <f t="shared" si="10"/>
        <v>0</v>
      </c>
      <c r="AP14" s="12">
        <f t="shared" si="11"/>
        <v>0</v>
      </c>
      <c r="AQ14" s="12"/>
      <c r="AR14" s="4"/>
      <c r="AS14" s="3"/>
    </row>
    <row r="15" spans="1:46" ht="15" x14ac:dyDescent="0.25">
      <c r="A15" s="1">
        <v>1966</v>
      </c>
      <c r="B15" s="8">
        <v>1.7000000000000002</v>
      </c>
      <c r="C15" s="8">
        <v>-1.4774204820381165E-2</v>
      </c>
      <c r="D15" s="8">
        <v>-2.8533739302956107E-3</v>
      </c>
      <c r="E15" s="8">
        <v>-1.9134830999234298E-2</v>
      </c>
      <c r="F15" s="8">
        <v>-1.9134830999234298E-2</v>
      </c>
      <c r="G15" s="8">
        <v>-1.4950337114324475E-2</v>
      </c>
      <c r="H15" s="8">
        <v>-1.1924258961729883E-2</v>
      </c>
      <c r="I15" s="8">
        <v>2.1765717698103426E-2</v>
      </c>
      <c r="J15" s="8">
        <v>4.0900548697337724E-2</v>
      </c>
      <c r="K15" s="8">
        <v>-0.68298667449746719</v>
      </c>
      <c r="L15" s="8">
        <v>-0.70929019428705642</v>
      </c>
      <c r="M15" s="8">
        <v>-0.72092813695507296</v>
      </c>
      <c r="N15" s="8">
        <v>1.4665577121572682E-2</v>
      </c>
      <c r="P15" s="4"/>
      <c r="Q15" s="8">
        <v>1.7000000000000002</v>
      </c>
      <c r="R15" s="8">
        <v>-1.4774204820381165E-2</v>
      </c>
      <c r="S15" s="8">
        <v>-2.8533739302956107E-3</v>
      </c>
      <c r="T15" s="8">
        <v>-1.9134830999234298E-2</v>
      </c>
      <c r="U15" s="8">
        <v>-1.4950337114324475E-2</v>
      </c>
      <c r="V15" s="8">
        <v>-1.1924258961729883E-2</v>
      </c>
      <c r="W15" s="8">
        <v>2.1765717698103426E-2</v>
      </c>
      <c r="X15" s="8">
        <v>4.0900548697337724E-2</v>
      </c>
      <c r="Y15" s="8">
        <v>-0.68298667449746719</v>
      </c>
      <c r="Z15" s="8">
        <v>-0.70929019428705642</v>
      </c>
      <c r="AA15" s="8">
        <v>-0.72092813695507296</v>
      </c>
      <c r="AB15" s="8">
        <v>1.4665577121572682E-2</v>
      </c>
      <c r="AC15" s="47"/>
      <c r="AE15" s="12">
        <f t="shared" si="0"/>
        <v>0</v>
      </c>
      <c r="AF15" s="12">
        <f t="shared" si="1"/>
        <v>0</v>
      </c>
      <c r="AG15" s="12">
        <f t="shared" si="2"/>
        <v>0</v>
      </c>
      <c r="AH15" s="12">
        <f t="shared" si="3"/>
        <v>0</v>
      </c>
      <c r="AI15" s="12">
        <f t="shared" si="4"/>
        <v>0</v>
      </c>
      <c r="AJ15" s="12">
        <f t="shared" si="5"/>
        <v>0</v>
      </c>
      <c r="AK15" s="12">
        <f t="shared" si="6"/>
        <v>0</v>
      </c>
      <c r="AL15" s="12">
        <f t="shared" si="7"/>
        <v>0</v>
      </c>
      <c r="AM15" s="12">
        <f t="shared" si="8"/>
        <v>0</v>
      </c>
      <c r="AN15" s="12">
        <f t="shared" si="9"/>
        <v>0</v>
      </c>
      <c r="AO15" s="12">
        <f t="shared" si="10"/>
        <v>0</v>
      </c>
      <c r="AP15" s="12">
        <f t="shared" si="11"/>
        <v>0</v>
      </c>
      <c r="AQ15" s="12"/>
      <c r="AR15" s="4"/>
      <c r="AS15" s="3"/>
    </row>
    <row r="16" spans="1:46" ht="15" x14ac:dyDescent="0.25">
      <c r="A16" s="1">
        <v>1967</v>
      </c>
      <c r="B16" s="8">
        <v>3.3000000000000003</v>
      </c>
      <c r="C16" s="8">
        <v>1.6025329596762727E-2</v>
      </c>
      <c r="D16" s="8">
        <v>3.6312203903976492E-3</v>
      </c>
      <c r="E16" s="8">
        <v>1.9056237580896251E-2</v>
      </c>
      <c r="F16" s="8">
        <v>1.9056237580896251E-2</v>
      </c>
      <c r="G16" s="8">
        <v>-2.8533739302956107E-3</v>
      </c>
      <c r="H16" s="8">
        <v>-1.9134830999234298E-2</v>
      </c>
      <c r="I16" s="8">
        <v>4.0821955278999678E-2</v>
      </c>
      <c r="J16" s="8">
        <v>2.1765717698103426E-2</v>
      </c>
      <c r="K16" s="8">
        <v>-0.68481235756242009</v>
      </c>
      <c r="L16" s="8">
        <v>-0.68298667449746719</v>
      </c>
      <c r="M16" s="8">
        <v>-0.70929019428705642</v>
      </c>
      <c r="N16" s="8">
        <v>-2.8129202854542124E-2</v>
      </c>
      <c r="O16" s="43">
        <v>1.5552801700000001</v>
      </c>
      <c r="P16" s="4"/>
      <c r="Q16" s="8">
        <v>3.3000000000000003</v>
      </c>
      <c r="R16" s="8">
        <v>1.6025329596762727E-2</v>
      </c>
      <c r="S16" s="8">
        <v>3.6312203903976492E-3</v>
      </c>
      <c r="T16" s="8">
        <v>1.9056237580896251E-2</v>
      </c>
      <c r="U16" s="8">
        <v>-2.8533739302956107E-3</v>
      </c>
      <c r="V16" s="8">
        <v>-1.9134830999234298E-2</v>
      </c>
      <c r="W16" s="8">
        <v>4.0821955278999678E-2</v>
      </c>
      <c r="X16" s="8">
        <v>2.1765717698103426E-2</v>
      </c>
      <c r="Y16" s="8">
        <v>-0.68481235756242009</v>
      </c>
      <c r="Z16" s="8">
        <v>-0.68298667449746719</v>
      </c>
      <c r="AA16" s="8">
        <v>-0.70929019428705642</v>
      </c>
      <c r="AB16" s="8">
        <v>-2.8129202854542124E-2</v>
      </c>
      <c r="AC16" s="47">
        <v>1.55704898</v>
      </c>
      <c r="AE16" s="12">
        <f t="shared" si="0"/>
        <v>0</v>
      </c>
      <c r="AF16" s="12">
        <f t="shared" si="1"/>
        <v>0</v>
      </c>
      <c r="AG16" s="12">
        <f t="shared" si="2"/>
        <v>0</v>
      </c>
      <c r="AH16" s="12">
        <f t="shared" si="3"/>
        <v>0</v>
      </c>
      <c r="AI16" s="12">
        <f t="shared" si="4"/>
        <v>0</v>
      </c>
      <c r="AJ16" s="12">
        <f t="shared" si="5"/>
        <v>0</v>
      </c>
      <c r="AK16" s="12">
        <f t="shared" si="6"/>
        <v>0</v>
      </c>
      <c r="AL16" s="12">
        <f t="shared" si="7"/>
        <v>0</v>
      </c>
      <c r="AM16" s="12">
        <f t="shared" si="8"/>
        <v>0</v>
      </c>
      <c r="AN16" s="12">
        <f t="shared" si="9"/>
        <v>0</v>
      </c>
      <c r="AO16" s="12">
        <f t="shared" si="10"/>
        <v>0</v>
      </c>
      <c r="AP16" s="12">
        <f t="shared" si="11"/>
        <v>0</v>
      </c>
      <c r="AQ16" s="12">
        <f t="shared" ref="AQ16:AQ47" si="12">(O16-AC16)/100</f>
        <v>-1.768809999999954E-5</v>
      </c>
      <c r="AR16" s="4"/>
      <c r="AS16" s="3"/>
    </row>
    <row r="17" spans="1:45" ht="15" x14ac:dyDescent="0.25">
      <c r="A17" s="1">
        <v>1968</v>
      </c>
      <c r="B17" s="8">
        <v>4.4000000000000004</v>
      </c>
      <c r="C17" s="8">
        <v>1.222640219405946E-2</v>
      </c>
      <c r="D17" s="8">
        <v>-2.1210078080621253E-2</v>
      </c>
      <c r="E17" s="8">
        <v>-4.2534412588732806E-3</v>
      </c>
      <c r="F17" s="8">
        <v>-4.2534412588732806E-3</v>
      </c>
      <c r="G17" s="8">
        <v>3.6312203903976492E-3</v>
      </c>
      <c r="H17" s="8">
        <v>1.9056237580896251E-2</v>
      </c>
      <c r="I17" s="8">
        <v>3.6568514020126397E-2</v>
      </c>
      <c r="J17" s="8">
        <v>4.0821955278999678E-2</v>
      </c>
      <c r="K17" s="8">
        <v>-0.7109568711514328</v>
      </c>
      <c r="L17" s="8">
        <v>-0.68481235756242009</v>
      </c>
      <c r="M17" s="8">
        <v>-0.68298667449746719</v>
      </c>
      <c r="N17" s="8">
        <v>-2.4318830524059809E-2</v>
      </c>
      <c r="O17" s="43">
        <v>1.92974336</v>
      </c>
      <c r="P17" s="4"/>
      <c r="Q17" s="8">
        <v>4.4000000000000004</v>
      </c>
      <c r="R17" s="8">
        <v>1.222640219405946E-2</v>
      </c>
      <c r="S17" s="8">
        <v>-2.1210078080621253E-2</v>
      </c>
      <c r="T17" s="8">
        <v>-4.2534412588732806E-3</v>
      </c>
      <c r="U17" s="8">
        <v>3.6312203903976492E-3</v>
      </c>
      <c r="V17" s="8">
        <v>1.9056237580896251E-2</v>
      </c>
      <c r="W17" s="8">
        <v>3.6568514020126397E-2</v>
      </c>
      <c r="X17" s="8">
        <v>4.0821955278999678E-2</v>
      </c>
      <c r="Y17" s="8">
        <v>-0.7109568711514328</v>
      </c>
      <c r="Z17" s="8">
        <v>-0.68481235756242009</v>
      </c>
      <c r="AA17" s="8">
        <v>-0.68298667449746719</v>
      </c>
      <c r="AB17" s="8">
        <v>-2.4318830524059809E-2</v>
      </c>
      <c r="AC17" s="47">
        <v>1.93439688</v>
      </c>
      <c r="AE17" s="12">
        <f t="shared" si="0"/>
        <v>0</v>
      </c>
      <c r="AF17" s="12">
        <f t="shared" si="1"/>
        <v>0</v>
      </c>
      <c r="AG17" s="12">
        <f t="shared" si="2"/>
        <v>0</v>
      </c>
      <c r="AH17" s="12">
        <f t="shared" si="3"/>
        <v>0</v>
      </c>
      <c r="AI17" s="12">
        <f t="shared" si="4"/>
        <v>0</v>
      </c>
      <c r="AJ17" s="12">
        <f t="shared" si="5"/>
        <v>0</v>
      </c>
      <c r="AK17" s="12">
        <f t="shared" si="6"/>
        <v>0</v>
      </c>
      <c r="AL17" s="12">
        <f t="shared" si="7"/>
        <v>0</v>
      </c>
      <c r="AM17" s="12">
        <f t="shared" si="8"/>
        <v>0</v>
      </c>
      <c r="AN17" s="12">
        <f t="shared" si="9"/>
        <v>0</v>
      </c>
      <c r="AO17" s="12">
        <f t="shared" si="10"/>
        <v>0</v>
      </c>
      <c r="AP17" s="12">
        <f t="shared" si="11"/>
        <v>0</v>
      </c>
      <c r="AQ17" s="12">
        <f t="shared" si="12"/>
        <v>-4.6535199999999662E-5</v>
      </c>
      <c r="AR17" s="4"/>
      <c r="AS17" s="3"/>
    </row>
    <row r="18" spans="1:45" ht="15" x14ac:dyDescent="0.25">
      <c r="A18" s="1">
        <v>1969</v>
      </c>
      <c r="B18" s="8">
        <v>3.2</v>
      </c>
      <c r="C18" s="8">
        <v>-3.5143694435663786E-2</v>
      </c>
      <c r="D18" s="8">
        <v>7.9940535618079345E-3</v>
      </c>
      <c r="E18" s="8">
        <v>4.3047397499327955E-2</v>
      </c>
      <c r="F18" s="8">
        <v>4.3047397499327955E-2</v>
      </c>
      <c r="G18" s="8">
        <v>-2.1210078080621253E-2</v>
      </c>
      <c r="H18" s="8">
        <v>-4.2534412588732806E-3</v>
      </c>
      <c r="I18" s="8">
        <v>7.9615911519454352E-2</v>
      </c>
      <c r="J18" s="8">
        <v>3.6568514020126397E-2</v>
      </c>
      <c r="K18" s="8">
        <v>-0.73707665252744736</v>
      </c>
      <c r="L18" s="8">
        <v>-0.7109568711514328</v>
      </c>
      <c r="M18" s="8">
        <v>-0.68481235756242009</v>
      </c>
      <c r="N18" s="8">
        <v>2.473221299814643E-5</v>
      </c>
      <c r="O18" s="43">
        <v>2.0383568699999999</v>
      </c>
      <c r="P18" s="4"/>
      <c r="Q18" s="8">
        <v>3.2</v>
      </c>
      <c r="R18" s="8">
        <v>-3.5143694435663786E-2</v>
      </c>
      <c r="S18" s="8">
        <v>7.9940535618079345E-3</v>
      </c>
      <c r="T18" s="8">
        <v>4.3047397499327955E-2</v>
      </c>
      <c r="U18" s="8">
        <v>-2.1210078080621253E-2</v>
      </c>
      <c r="V18" s="8">
        <v>-4.2534412588732806E-3</v>
      </c>
      <c r="W18" s="8">
        <v>7.9615911519454352E-2</v>
      </c>
      <c r="X18" s="8">
        <v>3.6568514020126397E-2</v>
      </c>
      <c r="Y18" s="8">
        <v>-0.73707665252744736</v>
      </c>
      <c r="Z18" s="8">
        <v>-0.7109568711514328</v>
      </c>
      <c r="AA18" s="8">
        <v>-0.68481235756242009</v>
      </c>
      <c r="AB18" s="8">
        <v>2.473221299814643E-5</v>
      </c>
      <c r="AC18" s="47">
        <v>2.0683610799999999</v>
      </c>
      <c r="AE18" s="12">
        <f t="shared" si="0"/>
        <v>0</v>
      </c>
      <c r="AF18" s="12">
        <f t="shared" si="1"/>
        <v>0</v>
      </c>
      <c r="AG18" s="12">
        <f t="shared" si="2"/>
        <v>0</v>
      </c>
      <c r="AH18" s="12">
        <f t="shared" si="3"/>
        <v>0</v>
      </c>
      <c r="AI18" s="12">
        <f t="shared" si="4"/>
        <v>0</v>
      </c>
      <c r="AJ18" s="12">
        <f t="shared" si="5"/>
        <v>0</v>
      </c>
      <c r="AK18" s="12">
        <f t="shared" si="6"/>
        <v>0</v>
      </c>
      <c r="AL18" s="12">
        <f t="shared" si="7"/>
        <v>0</v>
      </c>
      <c r="AM18" s="12">
        <f t="shared" si="8"/>
        <v>0</v>
      </c>
      <c r="AN18" s="12">
        <f t="shared" si="9"/>
        <v>0</v>
      </c>
      <c r="AO18" s="12">
        <f t="shared" si="10"/>
        <v>0</v>
      </c>
      <c r="AP18" s="12">
        <f t="shared" si="11"/>
        <v>0</v>
      </c>
      <c r="AQ18" s="12">
        <f t="shared" si="12"/>
        <v>-3.0004209999999975E-4</v>
      </c>
      <c r="AR18" s="4"/>
      <c r="AS18" s="3"/>
    </row>
    <row r="19" spans="1:45" ht="15" x14ac:dyDescent="0.25">
      <c r="A19" s="1">
        <v>1970</v>
      </c>
      <c r="B19" s="8">
        <v>2.1</v>
      </c>
      <c r="C19" s="8">
        <v>1.9579669719844921E-2</v>
      </c>
      <c r="D19" s="8">
        <v>-1.6020343802454207E-3</v>
      </c>
      <c r="E19" s="8">
        <v>-2.7267676150161346E-2</v>
      </c>
      <c r="F19" s="8">
        <v>-2.7267676150161346E-2</v>
      </c>
      <c r="G19" s="8">
        <v>7.9940535618079345E-3</v>
      </c>
      <c r="H19" s="8">
        <v>4.3047397499327955E-2</v>
      </c>
      <c r="I19" s="8">
        <v>5.2348235369293006E-2</v>
      </c>
      <c r="J19" s="8">
        <v>7.9615911519454352E-2</v>
      </c>
      <c r="K19" s="8">
        <v>-0.72239157561706879</v>
      </c>
      <c r="L19" s="8">
        <v>-0.73707665252744736</v>
      </c>
      <c r="M19" s="8">
        <v>-0.7109568711514328</v>
      </c>
      <c r="N19" s="8">
        <v>4.0804858286393131E-2</v>
      </c>
      <c r="O19" s="43">
        <v>2.20321319</v>
      </c>
      <c r="P19" s="4"/>
      <c r="Q19" s="8">
        <v>2.1</v>
      </c>
      <c r="R19" s="8">
        <v>1.9579669719844921E-2</v>
      </c>
      <c r="S19" s="8">
        <v>-1.6020343802454207E-3</v>
      </c>
      <c r="T19" s="8">
        <v>-2.7267676150161346E-2</v>
      </c>
      <c r="U19" s="8">
        <v>7.9940535618079345E-3</v>
      </c>
      <c r="V19" s="8">
        <v>4.3047397499327955E-2</v>
      </c>
      <c r="W19" s="8">
        <v>5.2348235369293006E-2</v>
      </c>
      <c r="X19" s="8">
        <v>7.9615911519454352E-2</v>
      </c>
      <c r="Y19" s="8">
        <v>-0.72239157561706879</v>
      </c>
      <c r="Z19" s="8">
        <v>-0.73707665252744736</v>
      </c>
      <c r="AA19" s="8">
        <v>-0.7109568711514328</v>
      </c>
      <c r="AB19" s="8">
        <v>4.0804858286393131E-2</v>
      </c>
      <c r="AC19" s="47">
        <v>2.2509509099999998</v>
      </c>
      <c r="AE19" s="12">
        <f t="shared" si="0"/>
        <v>0</v>
      </c>
      <c r="AF19" s="12">
        <f t="shared" si="1"/>
        <v>0</v>
      </c>
      <c r="AG19" s="12">
        <f t="shared" si="2"/>
        <v>0</v>
      </c>
      <c r="AH19" s="12">
        <f t="shared" si="3"/>
        <v>0</v>
      </c>
      <c r="AI19" s="12">
        <f t="shared" si="4"/>
        <v>0</v>
      </c>
      <c r="AJ19" s="12">
        <f t="shared" si="5"/>
        <v>0</v>
      </c>
      <c r="AK19" s="12">
        <f t="shared" si="6"/>
        <v>0</v>
      </c>
      <c r="AL19" s="12">
        <f t="shared" si="7"/>
        <v>0</v>
      </c>
      <c r="AM19" s="12">
        <f t="shared" si="8"/>
        <v>0</v>
      </c>
      <c r="AN19" s="12">
        <f t="shared" si="9"/>
        <v>0</v>
      </c>
      <c r="AO19" s="12">
        <f t="shared" si="10"/>
        <v>0</v>
      </c>
      <c r="AP19" s="12">
        <f t="shared" si="11"/>
        <v>0</v>
      </c>
      <c r="AQ19" s="12">
        <f t="shared" si="12"/>
        <v>-4.773771999999976E-4</v>
      </c>
      <c r="AR19" s="4"/>
      <c r="AS19" s="3"/>
    </row>
    <row r="20" spans="1:45" ht="15" x14ac:dyDescent="0.25">
      <c r="A20" s="1">
        <v>1971</v>
      </c>
      <c r="B20" s="8">
        <v>2.5</v>
      </c>
      <c r="C20" s="8">
        <v>5.420040258204329E-2</v>
      </c>
      <c r="D20" s="8">
        <v>1.5121400651882944E-2</v>
      </c>
      <c r="E20" s="8">
        <v>-2.1863179160164892E-2</v>
      </c>
      <c r="F20" s="8">
        <v>-2.1863179160164892E-2</v>
      </c>
      <c r="G20" s="8">
        <v>-1.6020343802454207E-3</v>
      </c>
      <c r="H20" s="8">
        <v>-2.7267676150161346E-2</v>
      </c>
      <c r="I20" s="8">
        <v>3.0485056209128114E-2</v>
      </c>
      <c r="J20" s="8">
        <v>5.2348235369293006E-2</v>
      </c>
      <c r="K20" s="8">
        <v>-0.67831909658476253</v>
      </c>
      <c r="L20" s="8">
        <v>-0.72239157561706879</v>
      </c>
      <c r="M20" s="8">
        <v>-0.73707665252744736</v>
      </c>
      <c r="N20" s="8">
        <v>2.9387402121927697E-2</v>
      </c>
      <c r="O20" s="43">
        <v>2.5582550099999999</v>
      </c>
      <c r="P20" s="4"/>
      <c r="Q20" s="8">
        <v>2.5</v>
      </c>
      <c r="R20" s="8">
        <v>5.420040258204329E-2</v>
      </c>
      <c r="S20" s="8">
        <v>1.5121400651882944E-2</v>
      </c>
      <c r="T20" s="8">
        <v>-2.1863179160164892E-2</v>
      </c>
      <c r="U20" s="8">
        <v>-1.6020343802454207E-3</v>
      </c>
      <c r="V20" s="8">
        <v>-2.7267676150161346E-2</v>
      </c>
      <c r="W20" s="8">
        <v>3.0485056209128114E-2</v>
      </c>
      <c r="X20" s="8">
        <v>5.2348235369293006E-2</v>
      </c>
      <c r="Y20" s="8">
        <v>-0.67831909658476253</v>
      </c>
      <c r="Z20" s="8">
        <v>-0.72239157561706879</v>
      </c>
      <c r="AA20" s="8">
        <v>-0.73707665252744736</v>
      </c>
      <c r="AB20" s="8">
        <v>2.9387402121927697E-2</v>
      </c>
      <c r="AC20" s="47">
        <v>2.6031595099999998</v>
      </c>
      <c r="AE20" s="12">
        <f t="shared" si="0"/>
        <v>0</v>
      </c>
      <c r="AF20" s="12">
        <f t="shared" si="1"/>
        <v>0</v>
      </c>
      <c r="AG20" s="12">
        <f t="shared" si="2"/>
        <v>0</v>
      </c>
      <c r="AH20" s="12">
        <f t="shared" si="3"/>
        <v>0</v>
      </c>
      <c r="AI20" s="12">
        <f t="shared" si="4"/>
        <v>0</v>
      </c>
      <c r="AJ20" s="12">
        <f t="shared" si="5"/>
        <v>0</v>
      </c>
      <c r="AK20" s="12">
        <f t="shared" si="6"/>
        <v>0</v>
      </c>
      <c r="AL20" s="12">
        <f t="shared" si="7"/>
        <v>0</v>
      </c>
      <c r="AM20" s="12">
        <f t="shared" si="8"/>
        <v>0</v>
      </c>
      <c r="AN20" s="12">
        <f t="shared" si="9"/>
        <v>0</v>
      </c>
      <c r="AO20" s="12">
        <f t="shared" si="10"/>
        <v>0</v>
      </c>
      <c r="AP20" s="12">
        <f t="shared" si="11"/>
        <v>0</v>
      </c>
      <c r="AQ20" s="12">
        <f t="shared" si="12"/>
        <v>-4.4904499999999905E-4</v>
      </c>
      <c r="AR20" s="4"/>
      <c r="AS20" s="3"/>
    </row>
    <row r="21" spans="1:45" ht="15" x14ac:dyDescent="0.25">
      <c r="A21" s="1">
        <v>1972</v>
      </c>
      <c r="B21" s="8">
        <v>2.9000000000000004</v>
      </c>
      <c r="C21" s="8">
        <v>-2.207200783531196E-3</v>
      </c>
      <c r="D21" s="8">
        <v>8.8467012879751561E-3</v>
      </c>
      <c r="E21" s="8">
        <v>3.7064029925762521E-2</v>
      </c>
      <c r="F21" s="8">
        <v>3.7064029925762521E-2</v>
      </c>
      <c r="G21" s="8">
        <v>1.5121400651882944E-2</v>
      </c>
      <c r="H21" s="8">
        <v>-2.1863179160164892E-2</v>
      </c>
      <c r="I21" s="8">
        <v>6.7549086134890635E-2</v>
      </c>
      <c r="J21" s="8">
        <v>3.0485056209128114E-2</v>
      </c>
      <c r="K21" s="8">
        <v>-0.67445790492122903</v>
      </c>
      <c r="L21" s="8">
        <v>-0.67831909658476253</v>
      </c>
      <c r="M21" s="8">
        <v>-0.72239157561706879</v>
      </c>
      <c r="N21" s="8">
        <v>-4.0211287368772775E-2</v>
      </c>
      <c r="O21" s="43">
        <v>2.8660646500000002</v>
      </c>
      <c r="P21" s="4"/>
      <c r="Q21" s="8">
        <v>2.9000000000000004</v>
      </c>
      <c r="R21" s="8">
        <v>-2.207200783531196E-3</v>
      </c>
      <c r="S21" s="8">
        <v>8.8467012879751561E-3</v>
      </c>
      <c r="T21" s="8">
        <v>3.7064029925762521E-2</v>
      </c>
      <c r="U21" s="8">
        <v>1.5121400651882944E-2</v>
      </c>
      <c r="V21" s="8">
        <v>-2.1863179160164892E-2</v>
      </c>
      <c r="W21" s="8">
        <v>6.7549086134890635E-2</v>
      </c>
      <c r="X21" s="8">
        <v>3.0485056209128114E-2</v>
      </c>
      <c r="Y21" s="8">
        <v>-0.67445790492122903</v>
      </c>
      <c r="Z21" s="8">
        <v>-0.67831909658476253</v>
      </c>
      <c r="AA21" s="8">
        <v>-0.72239157561706879</v>
      </c>
      <c r="AB21" s="8">
        <v>-4.0211287368772775E-2</v>
      </c>
      <c r="AC21" s="47">
        <v>2.9072618700000001</v>
      </c>
      <c r="AE21" s="12">
        <f t="shared" si="0"/>
        <v>0</v>
      </c>
      <c r="AF21" s="12">
        <f t="shared" si="1"/>
        <v>0</v>
      </c>
      <c r="AG21" s="12">
        <f t="shared" si="2"/>
        <v>0</v>
      </c>
      <c r="AH21" s="12">
        <f t="shared" si="3"/>
        <v>0</v>
      </c>
      <c r="AI21" s="12">
        <f t="shared" si="4"/>
        <v>0</v>
      </c>
      <c r="AJ21" s="12">
        <f t="shared" si="5"/>
        <v>0</v>
      </c>
      <c r="AK21" s="12">
        <f t="shared" si="6"/>
        <v>0</v>
      </c>
      <c r="AL21" s="12">
        <f t="shared" si="7"/>
        <v>0</v>
      </c>
      <c r="AM21" s="12">
        <f t="shared" si="8"/>
        <v>0</v>
      </c>
      <c r="AN21" s="12">
        <f t="shared" si="9"/>
        <v>0</v>
      </c>
      <c r="AO21" s="12">
        <f t="shared" si="10"/>
        <v>0</v>
      </c>
      <c r="AP21" s="12">
        <f t="shared" si="11"/>
        <v>0</v>
      </c>
      <c r="AQ21" s="12">
        <f t="shared" si="12"/>
        <v>-4.1197219999999923E-4</v>
      </c>
      <c r="AR21" s="4"/>
      <c r="AS21" s="3"/>
    </row>
    <row r="22" spans="1:45" ht="15" x14ac:dyDescent="0.25">
      <c r="A22" s="1">
        <v>1973</v>
      </c>
      <c r="B22" s="8">
        <v>2.6</v>
      </c>
      <c r="C22" s="8">
        <v>3.3307389416390658E-2</v>
      </c>
      <c r="D22" s="8">
        <v>-1.7846913058811475E-2</v>
      </c>
      <c r="E22" s="8">
        <v>-1.7423996982282031E-2</v>
      </c>
      <c r="F22" s="8">
        <v>-1.7423996982282031E-2</v>
      </c>
      <c r="G22" s="8">
        <v>8.8467012879751561E-3</v>
      </c>
      <c r="H22" s="8">
        <v>3.7064029925762521E-2</v>
      </c>
      <c r="I22" s="8">
        <v>5.0125089152608604E-2</v>
      </c>
      <c r="J22" s="8">
        <v>6.7549086134890635E-2</v>
      </c>
      <c r="K22" s="8">
        <v>-0.67293167542655252</v>
      </c>
      <c r="L22" s="8">
        <v>-0.67445790492122903</v>
      </c>
      <c r="M22" s="8">
        <v>-0.67831909658476253</v>
      </c>
      <c r="N22" s="8">
        <v>-2.3349621688569799E-3</v>
      </c>
      <c r="O22" s="43">
        <v>3.0465240200000001</v>
      </c>
      <c r="P22" s="4"/>
      <c r="Q22" s="8">
        <v>2.6</v>
      </c>
      <c r="R22" s="8">
        <v>3.3307389416390658E-2</v>
      </c>
      <c r="S22" s="8">
        <v>-1.7846913058811475E-2</v>
      </c>
      <c r="T22" s="8">
        <v>-1.7423996982282031E-2</v>
      </c>
      <c r="U22" s="8">
        <v>8.8467012879751561E-3</v>
      </c>
      <c r="V22" s="8">
        <v>3.7064029925762521E-2</v>
      </c>
      <c r="W22" s="8">
        <v>5.0125089152608604E-2</v>
      </c>
      <c r="X22" s="8">
        <v>6.7549086134890635E-2</v>
      </c>
      <c r="Y22" s="8">
        <v>-0.67293167542655252</v>
      </c>
      <c r="Z22" s="8">
        <v>-0.67445790492122903</v>
      </c>
      <c r="AA22" s="8">
        <v>-0.67831909658476253</v>
      </c>
      <c r="AB22" s="8">
        <v>-2.3349621688569799E-3</v>
      </c>
      <c r="AC22" s="47">
        <v>3.0887103300000001</v>
      </c>
      <c r="AE22" s="12">
        <f t="shared" si="0"/>
        <v>0</v>
      </c>
      <c r="AF22" s="12">
        <f t="shared" si="1"/>
        <v>0</v>
      </c>
      <c r="AG22" s="12">
        <f t="shared" si="2"/>
        <v>0</v>
      </c>
      <c r="AH22" s="12">
        <f t="shared" si="3"/>
        <v>0</v>
      </c>
      <c r="AI22" s="12">
        <f t="shared" si="4"/>
        <v>0</v>
      </c>
      <c r="AJ22" s="12">
        <f t="shared" si="5"/>
        <v>0</v>
      </c>
      <c r="AK22" s="12">
        <f t="shared" si="6"/>
        <v>0</v>
      </c>
      <c r="AL22" s="12">
        <f t="shared" si="7"/>
        <v>0</v>
      </c>
      <c r="AM22" s="12">
        <f t="shared" si="8"/>
        <v>0</v>
      </c>
      <c r="AN22" s="12">
        <f t="shared" si="9"/>
        <v>0</v>
      </c>
      <c r="AO22" s="12">
        <f t="shared" si="10"/>
        <v>0</v>
      </c>
      <c r="AP22" s="12">
        <f t="shared" si="11"/>
        <v>0</v>
      </c>
      <c r="AQ22" s="12">
        <f t="shared" si="12"/>
        <v>-4.2186309999999952E-4</v>
      </c>
      <c r="AR22" s="4"/>
      <c r="AS22" s="3"/>
    </row>
    <row r="23" spans="1:45" ht="15" x14ac:dyDescent="0.25">
      <c r="A23" s="1">
        <v>1974</v>
      </c>
      <c r="B23" s="8">
        <v>1.9000000000000001</v>
      </c>
      <c r="C23" s="8">
        <v>6.1008421408230047E-2</v>
      </c>
      <c r="D23" s="8">
        <v>-8.5944475438033407E-3</v>
      </c>
      <c r="E23" s="8">
        <v>-2.1206759564544653E-2</v>
      </c>
      <c r="F23" s="8">
        <v>-2.1206759564544653E-2</v>
      </c>
      <c r="G23" s="8">
        <v>-1.7846913058811475E-2</v>
      </c>
      <c r="H23" s="8">
        <v>-1.7423996982282031E-2</v>
      </c>
      <c r="I23" s="8">
        <v>2.8918329588063951E-2</v>
      </c>
      <c r="J23" s="8">
        <v>5.0125089152608604E-2</v>
      </c>
      <c r="K23" s="8">
        <v>-0.67067675343195787</v>
      </c>
      <c r="L23" s="8">
        <v>-0.67293167542655252</v>
      </c>
      <c r="M23" s="8">
        <v>-0.67445790492122903</v>
      </c>
      <c r="N23" s="8">
        <v>7.2869249991813767E-4</v>
      </c>
      <c r="O23" s="43">
        <v>3.1020605899999998</v>
      </c>
      <c r="P23" s="4"/>
      <c r="Q23" s="8">
        <v>1.9000000000000001</v>
      </c>
      <c r="R23" s="8">
        <v>6.1008421408230047E-2</v>
      </c>
      <c r="S23" s="8">
        <v>-8.5944475438033407E-3</v>
      </c>
      <c r="T23" s="8">
        <v>-2.1206759564544653E-2</v>
      </c>
      <c r="U23" s="8">
        <v>-1.7846913058811475E-2</v>
      </c>
      <c r="V23" s="8">
        <v>-1.7423996982282031E-2</v>
      </c>
      <c r="W23" s="8">
        <v>2.8918329588063951E-2</v>
      </c>
      <c r="X23" s="8">
        <v>5.0125089152608604E-2</v>
      </c>
      <c r="Y23" s="8">
        <v>-0.67067675343195787</v>
      </c>
      <c r="Z23" s="8">
        <v>-0.67293167542655252</v>
      </c>
      <c r="AA23" s="8">
        <v>-0.67445790492122903</v>
      </c>
      <c r="AB23" s="8">
        <v>7.2869249991813767E-4</v>
      </c>
      <c r="AC23" s="47">
        <v>3.14971829</v>
      </c>
      <c r="AE23" s="12">
        <f t="shared" si="0"/>
        <v>0</v>
      </c>
      <c r="AF23" s="12">
        <f t="shared" si="1"/>
        <v>0</v>
      </c>
      <c r="AG23" s="12">
        <f t="shared" si="2"/>
        <v>0</v>
      </c>
      <c r="AH23" s="12">
        <f t="shared" si="3"/>
        <v>0</v>
      </c>
      <c r="AI23" s="12">
        <f t="shared" si="4"/>
        <v>0</v>
      </c>
      <c r="AJ23" s="12">
        <f t="shared" si="5"/>
        <v>0</v>
      </c>
      <c r="AK23" s="12">
        <f t="shared" si="6"/>
        <v>0</v>
      </c>
      <c r="AL23" s="12">
        <f t="shared" si="7"/>
        <v>0</v>
      </c>
      <c r="AM23" s="12">
        <f t="shared" si="8"/>
        <v>0</v>
      </c>
      <c r="AN23" s="12">
        <f t="shared" si="9"/>
        <v>0</v>
      </c>
      <c r="AO23" s="12">
        <f t="shared" si="10"/>
        <v>0</v>
      </c>
      <c r="AP23" s="12">
        <f t="shared" si="11"/>
        <v>0</v>
      </c>
      <c r="AQ23" s="12">
        <f t="shared" si="12"/>
        <v>-4.7657700000000249E-4</v>
      </c>
      <c r="AR23" s="4"/>
      <c r="AS23" s="3"/>
    </row>
    <row r="24" spans="1:45" ht="15" x14ac:dyDescent="0.25">
      <c r="A24" s="1">
        <v>1975</v>
      </c>
      <c r="B24" s="8">
        <v>2.7</v>
      </c>
      <c r="C24" s="8">
        <v>1.1624400483648323E-2</v>
      </c>
      <c r="D24" s="8">
        <v>6.9959032307059132E-2</v>
      </c>
      <c r="E24" s="8">
        <v>9.9396442760111281E-3</v>
      </c>
      <c r="F24" s="8">
        <v>9.9396442760111281E-3</v>
      </c>
      <c r="G24" s="8">
        <v>-8.5944475438033407E-3</v>
      </c>
      <c r="H24" s="8">
        <v>-2.1206759564544653E-2</v>
      </c>
      <c r="I24" s="8">
        <v>3.8857973864075079E-2</v>
      </c>
      <c r="J24" s="8">
        <v>2.8918329588063951E-2</v>
      </c>
      <c r="K24" s="8">
        <v>-0.58648880618651911</v>
      </c>
      <c r="L24" s="8">
        <v>-0.67067675343195787</v>
      </c>
      <c r="M24" s="8">
        <v>-0.67293167542655252</v>
      </c>
      <c r="N24" s="8">
        <v>8.1933025250844116E-2</v>
      </c>
      <c r="O24" s="43">
        <v>3.2851395499999998</v>
      </c>
      <c r="P24" s="4"/>
      <c r="Q24" s="8">
        <v>2.7</v>
      </c>
      <c r="R24" s="8">
        <v>1.1624400483648323E-2</v>
      </c>
      <c r="S24" s="8">
        <v>6.9959032307059132E-2</v>
      </c>
      <c r="T24" s="8">
        <v>9.9396442760111281E-3</v>
      </c>
      <c r="U24" s="8">
        <v>-8.5944475438033407E-3</v>
      </c>
      <c r="V24" s="8">
        <v>-2.1206759564544653E-2</v>
      </c>
      <c r="W24" s="8">
        <v>3.8857973864075079E-2</v>
      </c>
      <c r="X24" s="8">
        <v>2.8918329588063951E-2</v>
      </c>
      <c r="Y24" s="8">
        <v>-0.58648880618651911</v>
      </c>
      <c r="Z24" s="8">
        <v>-0.67067675343195787</v>
      </c>
      <c r="AA24" s="8">
        <v>-0.67293167542655252</v>
      </c>
      <c r="AB24" s="8">
        <v>8.1933025250844116E-2</v>
      </c>
      <c r="AC24" s="47">
        <v>3.3202772299999999</v>
      </c>
      <c r="AE24" s="12">
        <f t="shared" si="0"/>
        <v>0</v>
      </c>
      <c r="AF24" s="12">
        <f t="shared" si="1"/>
        <v>0</v>
      </c>
      <c r="AG24" s="12">
        <f t="shared" si="2"/>
        <v>0</v>
      </c>
      <c r="AH24" s="12">
        <f t="shared" si="3"/>
        <v>0</v>
      </c>
      <c r="AI24" s="12">
        <f t="shared" si="4"/>
        <v>0</v>
      </c>
      <c r="AJ24" s="12">
        <f t="shared" si="5"/>
        <v>0</v>
      </c>
      <c r="AK24" s="12">
        <f t="shared" si="6"/>
        <v>0</v>
      </c>
      <c r="AL24" s="12">
        <f t="shared" si="7"/>
        <v>0</v>
      </c>
      <c r="AM24" s="12">
        <f t="shared" si="8"/>
        <v>0</v>
      </c>
      <c r="AN24" s="12">
        <f t="shared" si="9"/>
        <v>0</v>
      </c>
      <c r="AO24" s="12">
        <f t="shared" si="10"/>
        <v>0</v>
      </c>
      <c r="AP24" s="12">
        <f t="shared" si="11"/>
        <v>0</v>
      </c>
      <c r="AQ24" s="12">
        <f t="shared" si="12"/>
        <v>-3.5137680000000058E-4</v>
      </c>
      <c r="AR24" s="4"/>
      <c r="AS24" s="3"/>
    </row>
    <row r="25" spans="1:45" ht="15" x14ac:dyDescent="0.25">
      <c r="A25" s="1">
        <v>1976</v>
      </c>
      <c r="B25" s="8">
        <v>3.9000000000000004</v>
      </c>
      <c r="C25" s="8">
        <v>-8.8557709037026658E-2</v>
      </c>
      <c r="D25" s="8">
        <v>-5.1736542053786083E-2</v>
      </c>
      <c r="E25" s="8">
        <v>-2.6172647364239854E-2</v>
      </c>
      <c r="F25" s="8">
        <v>-2.6172647364239854E-2</v>
      </c>
      <c r="G25" s="8">
        <v>6.9959032307059132E-2</v>
      </c>
      <c r="H25" s="8">
        <v>9.9396442760111281E-3</v>
      </c>
      <c r="I25" s="8">
        <v>1.2685326499835226E-2</v>
      </c>
      <c r="J25" s="8">
        <v>3.8857973864075079E-2</v>
      </c>
      <c r="K25" s="8">
        <v>-0.56798691364436893</v>
      </c>
      <c r="L25" s="8">
        <v>-0.58648880618651911</v>
      </c>
      <c r="M25" s="8">
        <v>-0.67067675343195787</v>
      </c>
      <c r="N25" s="8">
        <v>-6.5686054703288588E-2</v>
      </c>
      <c r="O25" s="43">
        <v>3.4550842400000001</v>
      </c>
      <c r="P25" s="4"/>
      <c r="Q25" s="8">
        <v>3.9000000000000004</v>
      </c>
      <c r="R25" s="8">
        <v>-8.8557709037026658E-2</v>
      </c>
      <c r="S25" s="8">
        <v>-5.1736542053786083E-2</v>
      </c>
      <c r="T25" s="8">
        <v>-2.6172647364239854E-2</v>
      </c>
      <c r="U25" s="8">
        <v>6.9959032307059132E-2</v>
      </c>
      <c r="V25" s="8">
        <v>9.9396442760111281E-3</v>
      </c>
      <c r="W25" s="8">
        <v>1.2685326499835226E-2</v>
      </c>
      <c r="X25" s="8">
        <v>3.8857973864075079E-2</v>
      </c>
      <c r="Y25" s="8">
        <v>-0.56798691364436893</v>
      </c>
      <c r="Z25" s="8">
        <v>-0.58648880618651911</v>
      </c>
      <c r="AA25" s="8">
        <v>-0.67067675343195787</v>
      </c>
      <c r="AB25" s="8">
        <v>-6.5686054703288588E-2</v>
      </c>
      <c r="AC25" s="47">
        <v>3.4739648399999998</v>
      </c>
      <c r="AE25" s="12">
        <f t="shared" si="0"/>
        <v>0</v>
      </c>
      <c r="AF25" s="12">
        <f t="shared" si="1"/>
        <v>0</v>
      </c>
      <c r="AG25" s="12">
        <f t="shared" si="2"/>
        <v>0</v>
      </c>
      <c r="AH25" s="12">
        <f t="shared" si="3"/>
        <v>0</v>
      </c>
      <c r="AI25" s="12">
        <f t="shared" si="4"/>
        <v>0</v>
      </c>
      <c r="AJ25" s="12">
        <f t="shared" si="5"/>
        <v>0</v>
      </c>
      <c r="AK25" s="12">
        <f t="shared" si="6"/>
        <v>0</v>
      </c>
      <c r="AL25" s="12">
        <f t="shared" si="7"/>
        <v>0</v>
      </c>
      <c r="AM25" s="12">
        <f t="shared" si="8"/>
        <v>0</v>
      </c>
      <c r="AN25" s="12">
        <f t="shared" si="9"/>
        <v>0</v>
      </c>
      <c r="AO25" s="12">
        <f t="shared" si="10"/>
        <v>0</v>
      </c>
      <c r="AP25" s="12">
        <f t="shared" si="11"/>
        <v>0</v>
      </c>
      <c r="AQ25" s="12">
        <f t="shared" si="12"/>
        <v>-1.8880599999999693E-4</v>
      </c>
      <c r="AR25" s="4"/>
      <c r="AS25" s="3"/>
    </row>
    <row r="26" spans="1:45" ht="15" x14ac:dyDescent="0.25">
      <c r="A26" s="1">
        <v>1977</v>
      </c>
      <c r="B26" s="8">
        <v>5.9</v>
      </c>
      <c r="C26" s="8">
        <v>-7.4345465005405384E-2</v>
      </c>
      <c r="D26" s="8">
        <v>2.3744993519911883E-2</v>
      </c>
      <c r="E26" s="8">
        <v>8.2487865000202554E-3</v>
      </c>
      <c r="F26" s="8">
        <v>8.2487865000202554E-3</v>
      </c>
      <c r="G26" s="8">
        <v>-5.1736542053786083E-2</v>
      </c>
      <c r="H26" s="8">
        <v>-2.6172647364239854E-2</v>
      </c>
      <c r="I26" s="8">
        <v>2.0934112999855481E-2</v>
      </c>
      <c r="J26" s="8">
        <v>1.2685326499835226E-2</v>
      </c>
      <c r="K26" s="8">
        <v>-0.58368507145499671</v>
      </c>
      <c r="L26" s="8">
        <v>-0.56798691364436893</v>
      </c>
      <c r="M26" s="8">
        <v>-0.58648880618651911</v>
      </c>
      <c r="N26" s="8">
        <v>-3.4200050352777955E-2</v>
      </c>
      <c r="O26" s="43">
        <v>3.7648417900000002</v>
      </c>
      <c r="P26" s="4"/>
      <c r="Q26" s="8">
        <v>5.9</v>
      </c>
      <c r="R26" s="8">
        <v>-7.4345465005405384E-2</v>
      </c>
      <c r="S26" s="8">
        <v>2.3744993519911883E-2</v>
      </c>
      <c r="T26" s="8">
        <v>8.2487865000202554E-3</v>
      </c>
      <c r="U26" s="8">
        <v>-5.1736542053786083E-2</v>
      </c>
      <c r="V26" s="8">
        <v>-2.6172647364239854E-2</v>
      </c>
      <c r="W26" s="8">
        <v>2.0934112999855481E-2</v>
      </c>
      <c r="X26" s="8">
        <v>1.2685326499835226E-2</v>
      </c>
      <c r="Y26" s="8">
        <v>-0.58368507145499671</v>
      </c>
      <c r="Z26" s="8">
        <v>-0.56798691364436893</v>
      </c>
      <c r="AA26" s="8">
        <v>-0.58648880618651911</v>
      </c>
      <c r="AB26" s="8">
        <v>-3.4200050352777955E-2</v>
      </c>
      <c r="AC26" s="47">
        <v>3.75070272</v>
      </c>
      <c r="AE26" s="12">
        <f t="shared" si="0"/>
        <v>0</v>
      </c>
      <c r="AF26" s="12">
        <f t="shared" si="1"/>
        <v>0</v>
      </c>
      <c r="AG26" s="12">
        <f t="shared" si="2"/>
        <v>0</v>
      </c>
      <c r="AH26" s="12">
        <f t="shared" si="3"/>
        <v>0</v>
      </c>
      <c r="AI26" s="12">
        <f t="shared" si="4"/>
        <v>0</v>
      </c>
      <c r="AJ26" s="12">
        <f t="shared" si="5"/>
        <v>0</v>
      </c>
      <c r="AK26" s="12">
        <f t="shared" si="6"/>
        <v>0</v>
      </c>
      <c r="AL26" s="12">
        <f t="shared" si="7"/>
        <v>0</v>
      </c>
      <c r="AM26" s="12">
        <f t="shared" si="8"/>
        <v>0</v>
      </c>
      <c r="AN26" s="12">
        <f t="shared" si="9"/>
        <v>0</v>
      </c>
      <c r="AO26" s="12">
        <f t="shared" si="10"/>
        <v>0</v>
      </c>
      <c r="AP26" s="12">
        <f t="shared" si="11"/>
        <v>0</v>
      </c>
      <c r="AQ26" s="12">
        <f t="shared" si="12"/>
        <v>1.4139070000000143E-4</v>
      </c>
      <c r="AR26" s="4"/>
      <c r="AS26" s="3"/>
    </row>
    <row r="27" spans="1:45" ht="15" x14ac:dyDescent="0.25">
      <c r="A27" s="1">
        <v>1978</v>
      </c>
      <c r="B27" s="8">
        <v>7.3000000000000007</v>
      </c>
      <c r="C27" s="8">
        <v>-2.793450636988971E-2</v>
      </c>
      <c r="D27" s="8">
        <v>-1.2222142328244034E-2</v>
      </c>
      <c r="E27" s="8">
        <v>1.7961971260263887E-2</v>
      </c>
      <c r="F27" s="8">
        <v>1.7961971260263887E-2</v>
      </c>
      <c r="G27" s="8">
        <v>2.3744993519911883E-2</v>
      </c>
      <c r="H27" s="8">
        <v>8.2487865000202554E-3</v>
      </c>
      <c r="I27" s="8">
        <v>3.8896084260119368E-2</v>
      </c>
      <c r="J27" s="8">
        <v>2.0934112999855481E-2</v>
      </c>
      <c r="K27" s="8">
        <v>-0.63106542141647681</v>
      </c>
      <c r="L27" s="8">
        <v>-0.58368507145499671</v>
      </c>
      <c r="M27" s="8">
        <v>-0.56798691364436893</v>
      </c>
      <c r="N27" s="8">
        <v>-3.1682192150852329E-2</v>
      </c>
      <c r="O27" s="43">
        <v>4.0792194500000001</v>
      </c>
      <c r="P27" s="4"/>
      <c r="Q27" s="8">
        <v>7.3000000000000007</v>
      </c>
      <c r="R27" s="8">
        <v>-2.793450636988971E-2</v>
      </c>
      <c r="S27" s="8">
        <v>-1.2222142328244034E-2</v>
      </c>
      <c r="T27" s="8">
        <v>1.7961971260263887E-2</v>
      </c>
      <c r="U27" s="8">
        <v>2.3744993519911883E-2</v>
      </c>
      <c r="V27" s="8">
        <v>8.2487865000202554E-3</v>
      </c>
      <c r="W27" s="8">
        <v>3.8896084260119368E-2</v>
      </c>
      <c r="X27" s="8">
        <v>2.0934112999855481E-2</v>
      </c>
      <c r="Y27" s="8">
        <v>-0.63106542141647681</v>
      </c>
      <c r="Z27" s="8">
        <v>-0.58368507145499671</v>
      </c>
      <c r="AA27" s="8">
        <v>-0.56798691364436893</v>
      </c>
      <c r="AB27" s="8">
        <v>-3.1682192150852329E-2</v>
      </c>
      <c r="AC27" s="47">
        <v>4.0288290599999996</v>
      </c>
      <c r="AE27" s="12">
        <f t="shared" si="0"/>
        <v>0</v>
      </c>
      <c r="AF27" s="12">
        <f t="shared" si="1"/>
        <v>0</v>
      </c>
      <c r="AG27" s="12">
        <f t="shared" si="2"/>
        <v>0</v>
      </c>
      <c r="AH27" s="12">
        <f t="shared" si="3"/>
        <v>0</v>
      </c>
      <c r="AI27" s="12">
        <f t="shared" si="4"/>
        <v>0</v>
      </c>
      <c r="AJ27" s="12">
        <f t="shared" si="5"/>
        <v>0</v>
      </c>
      <c r="AK27" s="12">
        <f t="shared" si="6"/>
        <v>0</v>
      </c>
      <c r="AL27" s="12">
        <f t="shared" si="7"/>
        <v>0</v>
      </c>
      <c r="AM27" s="12">
        <f t="shared" si="8"/>
        <v>0</v>
      </c>
      <c r="AN27" s="12">
        <f t="shared" si="9"/>
        <v>0</v>
      </c>
      <c r="AO27" s="12">
        <f t="shared" si="10"/>
        <v>0</v>
      </c>
      <c r="AP27" s="12">
        <f t="shared" si="11"/>
        <v>0</v>
      </c>
      <c r="AQ27" s="12">
        <f t="shared" si="12"/>
        <v>5.0390390000000453E-4</v>
      </c>
      <c r="AR27" s="4"/>
      <c r="AS27" s="3"/>
    </row>
    <row r="28" spans="1:45" ht="15" x14ac:dyDescent="0.25">
      <c r="A28" s="1">
        <v>1979</v>
      </c>
      <c r="B28" s="8">
        <v>6</v>
      </c>
      <c r="C28" s="8">
        <v>5.3727924060447796E-2</v>
      </c>
      <c r="D28" s="8">
        <v>-1.3080767771194823E-2</v>
      </c>
      <c r="E28" s="8">
        <v>9.3818914994932001E-3</v>
      </c>
      <c r="F28" s="8">
        <v>9.3818914994932001E-3</v>
      </c>
      <c r="G28" s="8">
        <v>-1.2222142328244034E-2</v>
      </c>
      <c r="H28" s="8">
        <v>1.7961971260263887E-2</v>
      </c>
      <c r="I28" s="8">
        <v>4.8277975759612568E-2</v>
      </c>
      <c r="J28" s="8">
        <v>3.8896084260119368E-2</v>
      </c>
      <c r="K28" s="8">
        <v>-0.64522265036417514</v>
      </c>
      <c r="L28" s="8">
        <v>-0.63106542141647681</v>
      </c>
      <c r="M28" s="8">
        <v>-0.58368507145499671</v>
      </c>
      <c r="N28" s="8">
        <v>3.3223121013781776E-2</v>
      </c>
      <c r="O28" s="43">
        <v>4.07333473</v>
      </c>
      <c r="P28" s="4"/>
      <c r="Q28" s="8">
        <v>6</v>
      </c>
      <c r="R28" s="8">
        <v>5.3727924060447796E-2</v>
      </c>
      <c r="S28" s="8">
        <v>-1.3080767771194823E-2</v>
      </c>
      <c r="T28" s="8">
        <v>9.3818914994932001E-3</v>
      </c>
      <c r="U28" s="8">
        <v>-1.2222142328244034E-2</v>
      </c>
      <c r="V28" s="8">
        <v>1.7961971260263887E-2</v>
      </c>
      <c r="W28" s="8">
        <v>4.8277975759612568E-2</v>
      </c>
      <c r="X28" s="8">
        <v>3.8896084260119368E-2</v>
      </c>
      <c r="Y28" s="8">
        <v>-0.64522265036417514</v>
      </c>
      <c r="Z28" s="8">
        <v>-0.63106542141647681</v>
      </c>
      <c r="AA28" s="8">
        <v>-0.58368507145499671</v>
      </c>
      <c r="AB28" s="8">
        <v>3.3223121013781776E-2</v>
      </c>
      <c r="AC28" s="47">
        <v>4.0160245000000003</v>
      </c>
      <c r="AE28" s="12">
        <f t="shared" si="0"/>
        <v>0</v>
      </c>
      <c r="AF28" s="12">
        <f t="shared" si="1"/>
        <v>0</v>
      </c>
      <c r="AG28" s="12">
        <f t="shared" si="2"/>
        <v>0</v>
      </c>
      <c r="AH28" s="12">
        <f t="shared" si="3"/>
        <v>0</v>
      </c>
      <c r="AI28" s="12">
        <f t="shared" si="4"/>
        <v>0</v>
      </c>
      <c r="AJ28" s="12">
        <f t="shared" si="5"/>
        <v>0</v>
      </c>
      <c r="AK28" s="12">
        <f t="shared" si="6"/>
        <v>0</v>
      </c>
      <c r="AL28" s="12">
        <f t="shared" si="7"/>
        <v>0</v>
      </c>
      <c r="AM28" s="12">
        <f t="shared" si="8"/>
        <v>0</v>
      </c>
      <c r="AN28" s="12">
        <f t="shared" si="9"/>
        <v>0</v>
      </c>
      <c r="AO28" s="12">
        <f t="shared" si="10"/>
        <v>0</v>
      </c>
      <c r="AP28" s="12">
        <f t="shared" si="11"/>
        <v>0</v>
      </c>
      <c r="AQ28" s="12">
        <f t="shared" si="12"/>
        <v>5.7310229999999688E-4</v>
      </c>
      <c r="AR28" s="4"/>
      <c r="AS28" s="3"/>
    </row>
    <row r="29" spans="1:45" ht="15" x14ac:dyDescent="0.25">
      <c r="A29" s="1">
        <v>1980</v>
      </c>
      <c r="B29" s="8">
        <v>4.7</v>
      </c>
      <c r="C29" s="8">
        <v>1.6932888150109415E-2</v>
      </c>
      <c r="D29" s="8">
        <v>1.9718438850939046E-2</v>
      </c>
      <c r="E29" s="8">
        <v>-2.4196862045499756E-2</v>
      </c>
      <c r="F29" s="8">
        <v>-2.4196862045499756E-2</v>
      </c>
      <c r="G29" s="8">
        <v>-1.3080767771194823E-2</v>
      </c>
      <c r="H29" s="8">
        <v>9.3818914994932001E-3</v>
      </c>
      <c r="I29" s="8">
        <v>2.4081113714112812E-2</v>
      </c>
      <c r="J29" s="8">
        <v>4.8277975759612568E-2</v>
      </c>
      <c r="K29" s="8">
        <v>-0.63222722005243759</v>
      </c>
      <c r="L29" s="8">
        <v>-0.64522265036417514</v>
      </c>
      <c r="M29" s="8">
        <v>-0.63106542141647681</v>
      </c>
      <c r="N29" s="8">
        <v>2.7152659259435885E-2</v>
      </c>
      <c r="O29" s="43">
        <v>4.0386667699999999</v>
      </c>
      <c r="P29" s="4"/>
      <c r="Q29" s="8">
        <v>4.7</v>
      </c>
      <c r="R29" s="8">
        <v>1.6932888150109415E-2</v>
      </c>
      <c r="S29" s="8">
        <v>1.9718438850939046E-2</v>
      </c>
      <c r="T29" s="8">
        <v>-2.4196862045499756E-2</v>
      </c>
      <c r="U29" s="8">
        <v>-1.3080767771194823E-2</v>
      </c>
      <c r="V29" s="8">
        <v>9.3818914994932001E-3</v>
      </c>
      <c r="W29" s="8">
        <v>2.4081113714112812E-2</v>
      </c>
      <c r="X29" s="8">
        <v>4.8277975759612568E-2</v>
      </c>
      <c r="Y29" s="8">
        <v>-0.63222722005243759</v>
      </c>
      <c r="Z29" s="8">
        <v>-0.64522265036417514</v>
      </c>
      <c r="AA29" s="8">
        <v>-0.63106542141647681</v>
      </c>
      <c r="AB29" s="8">
        <v>2.7152659259435885E-2</v>
      </c>
      <c r="AC29" s="47">
        <v>3.9810985900000002</v>
      </c>
      <c r="AE29" s="12">
        <f t="shared" si="0"/>
        <v>0</v>
      </c>
      <c r="AF29" s="12">
        <f t="shared" si="1"/>
        <v>0</v>
      </c>
      <c r="AG29" s="12">
        <f t="shared" si="2"/>
        <v>0</v>
      </c>
      <c r="AH29" s="12">
        <f t="shared" si="3"/>
        <v>0</v>
      </c>
      <c r="AI29" s="12">
        <f t="shared" si="4"/>
        <v>0</v>
      </c>
      <c r="AJ29" s="12">
        <f t="shared" si="5"/>
        <v>0</v>
      </c>
      <c r="AK29" s="12">
        <f t="shared" si="6"/>
        <v>0</v>
      </c>
      <c r="AL29" s="12">
        <f t="shared" si="7"/>
        <v>0</v>
      </c>
      <c r="AM29" s="12">
        <f t="shared" si="8"/>
        <v>0</v>
      </c>
      <c r="AN29" s="12">
        <f t="shared" si="9"/>
        <v>0</v>
      </c>
      <c r="AO29" s="12">
        <f t="shared" si="10"/>
        <v>0</v>
      </c>
      <c r="AP29" s="12">
        <f t="shared" si="11"/>
        <v>0</v>
      </c>
      <c r="AQ29" s="12">
        <f t="shared" si="12"/>
        <v>5.7568179999999635E-4</v>
      </c>
      <c r="AR29" s="4"/>
      <c r="AS29" s="3"/>
    </row>
    <row r="30" spans="1:45" ht="15" x14ac:dyDescent="0.25">
      <c r="A30" s="1">
        <v>1981</v>
      </c>
      <c r="B30" s="8">
        <v>4.9000000000000004</v>
      </c>
      <c r="C30" s="8">
        <v>8.0668632356444194E-3</v>
      </c>
      <c r="D30" s="8">
        <v>-1.6766657355795411E-2</v>
      </c>
      <c r="E30" s="8">
        <v>-2.3790766877476832E-2</v>
      </c>
      <c r="F30" s="8">
        <v>-2.3790766877476832E-2</v>
      </c>
      <c r="G30" s="8">
        <v>1.9718438850939046E-2</v>
      </c>
      <c r="H30" s="8">
        <v>-2.4196862045499756E-2</v>
      </c>
      <c r="I30" s="8">
        <v>2.903468366359796E-4</v>
      </c>
      <c r="J30" s="8">
        <v>2.4081113714112812E-2</v>
      </c>
      <c r="K30" s="8">
        <v>-0.60846181958720125</v>
      </c>
      <c r="L30" s="8">
        <v>-0.63222722005243759</v>
      </c>
      <c r="M30" s="8">
        <v>-0.64522265036417514</v>
      </c>
      <c r="N30" s="8">
        <v>1.0769970153498787E-2</v>
      </c>
      <c r="O30" s="43">
        <v>4.1113907599999999</v>
      </c>
      <c r="P30" s="4"/>
      <c r="Q30" s="8">
        <v>4.9000000000000004</v>
      </c>
      <c r="R30" s="8">
        <v>8.0668632356444194E-3</v>
      </c>
      <c r="S30" s="8">
        <v>-1.6766657355795411E-2</v>
      </c>
      <c r="T30" s="8">
        <v>-2.3790766877476832E-2</v>
      </c>
      <c r="U30" s="8">
        <v>1.9718438850939046E-2</v>
      </c>
      <c r="V30" s="8">
        <v>-2.4196862045499756E-2</v>
      </c>
      <c r="W30" s="8">
        <v>2.903468366359796E-4</v>
      </c>
      <c r="X30" s="8">
        <v>2.4081113714112812E-2</v>
      </c>
      <c r="Y30" s="8">
        <v>-0.60846181958720125</v>
      </c>
      <c r="Z30" s="8">
        <v>-0.63222722005243759</v>
      </c>
      <c r="AA30" s="8">
        <v>-0.64522265036417514</v>
      </c>
      <c r="AB30" s="8">
        <v>1.0769970153498787E-2</v>
      </c>
      <c r="AC30" s="47">
        <v>4.0517424999999996</v>
      </c>
      <c r="AE30" s="12">
        <f t="shared" si="0"/>
        <v>0</v>
      </c>
      <c r="AF30" s="12">
        <f t="shared" si="1"/>
        <v>0</v>
      </c>
      <c r="AG30" s="12">
        <f t="shared" si="2"/>
        <v>0</v>
      </c>
      <c r="AH30" s="12">
        <f t="shared" si="3"/>
        <v>0</v>
      </c>
      <c r="AI30" s="12">
        <f t="shared" si="4"/>
        <v>0</v>
      </c>
      <c r="AJ30" s="12">
        <f t="shared" si="5"/>
        <v>0</v>
      </c>
      <c r="AK30" s="12">
        <f t="shared" si="6"/>
        <v>0</v>
      </c>
      <c r="AL30" s="12">
        <f t="shared" si="7"/>
        <v>0</v>
      </c>
      <c r="AM30" s="12">
        <f t="shared" si="8"/>
        <v>0</v>
      </c>
      <c r="AN30" s="12">
        <f t="shared" si="9"/>
        <v>0</v>
      </c>
      <c r="AO30" s="12">
        <f t="shared" si="10"/>
        <v>0</v>
      </c>
      <c r="AP30" s="12">
        <f t="shared" si="11"/>
        <v>0</v>
      </c>
      <c r="AQ30" s="12">
        <f t="shared" si="12"/>
        <v>5.9648260000000342E-4</v>
      </c>
      <c r="AR30" s="4"/>
      <c r="AS30" s="3"/>
    </row>
    <row r="31" spans="1:45" ht="15" x14ac:dyDescent="0.25">
      <c r="A31" s="1">
        <v>1982</v>
      </c>
      <c r="B31" s="8">
        <v>5.4</v>
      </c>
      <c r="C31" s="8">
        <v>-4.349689856612237E-2</v>
      </c>
      <c r="D31" s="8">
        <v>3.1937278401237279E-3</v>
      </c>
      <c r="E31" s="8">
        <v>1.8746781524577427E-2</v>
      </c>
      <c r="F31" s="8">
        <v>1.8746781524577427E-2</v>
      </c>
      <c r="G31" s="8">
        <v>-1.6766657355795411E-2</v>
      </c>
      <c r="H31" s="8">
        <v>-2.3790766877476832E-2</v>
      </c>
      <c r="I31" s="8">
        <v>1.9037128361213407E-2</v>
      </c>
      <c r="J31" s="8">
        <v>2.903468366359796E-4</v>
      </c>
      <c r="K31" s="8">
        <v>-0.62427409560093527</v>
      </c>
      <c r="L31" s="8">
        <v>-0.60846181958720125</v>
      </c>
      <c r="M31" s="8">
        <v>-0.63222722005243759</v>
      </c>
      <c r="N31" s="8">
        <v>-3.9577676478970369E-2</v>
      </c>
      <c r="O31" s="43">
        <v>4.1059607800000002</v>
      </c>
      <c r="P31" s="4"/>
      <c r="Q31" s="8">
        <v>5.4</v>
      </c>
      <c r="R31" s="8">
        <v>-4.349689856612237E-2</v>
      </c>
      <c r="S31" s="8">
        <v>3.1937278401237279E-3</v>
      </c>
      <c r="T31" s="8">
        <v>1.8746781524577427E-2</v>
      </c>
      <c r="U31" s="8">
        <v>-1.6766657355795411E-2</v>
      </c>
      <c r="V31" s="8">
        <v>-2.3790766877476832E-2</v>
      </c>
      <c r="W31" s="8">
        <v>1.9037128361213407E-2</v>
      </c>
      <c r="X31" s="8">
        <v>2.903468366359796E-4</v>
      </c>
      <c r="Y31" s="8">
        <v>-0.62427409560093527</v>
      </c>
      <c r="Z31" s="8">
        <v>-0.60846181958720125</v>
      </c>
      <c r="AA31" s="8">
        <v>-0.63222722005243759</v>
      </c>
      <c r="AB31" s="8">
        <v>-3.9577676478970369E-2</v>
      </c>
      <c r="AC31" s="47">
        <v>4.0615255100000001</v>
      </c>
      <c r="AE31" s="12">
        <f t="shared" si="0"/>
        <v>0</v>
      </c>
      <c r="AF31" s="12">
        <f t="shared" si="1"/>
        <v>0</v>
      </c>
      <c r="AG31" s="12">
        <f t="shared" si="2"/>
        <v>0</v>
      </c>
      <c r="AH31" s="12">
        <f t="shared" si="3"/>
        <v>0</v>
      </c>
      <c r="AI31" s="12">
        <f t="shared" si="4"/>
        <v>0</v>
      </c>
      <c r="AJ31" s="12">
        <f t="shared" si="5"/>
        <v>0</v>
      </c>
      <c r="AK31" s="12">
        <f t="shared" si="6"/>
        <v>0</v>
      </c>
      <c r="AL31" s="12">
        <f t="shared" si="7"/>
        <v>0</v>
      </c>
      <c r="AM31" s="12">
        <f t="shared" si="8"/>
        <v>0</v>
      </c>
      <c r="AN31" s="12">
        <f t="shared" si="9"/>
        <v>0</v>
      </c>
      <c r="AO31" s="12">
        <f t="shared" si="10"/>
        <v>0</v>
      </c>
      <c r="AP31" s="12">
        <f t="shared" si="11"/>
        <v>0</v>
      </c>
      <c r="AQ31" s="12">
        <f t="shared" si="12"/>
        <v>4.4435270000000139E-4</v>
      </c>
      <c r="AR31" s="4"/>
      <c r="AS31" s="3"/>
    </row>
    <row r="32" spans="1:45" ht="15" x14ac:dyDescent="0.25">
      <c r="A32" s="1">
        <v>1983</v>
      </c>
      <c r="B32" s="8">
        <v>5.5</v>
      </c>
      <c r="C32" s="8">
        <v>3.989786383957963E-3</v>
      </c>
      <c r="D32" s="8">
        <v>-3.0344633432126678E-3</v>
      </c>
      <c r="E32" s="8">
        <v>7.3696074894917807E-3</v>
      </c>
      <c r="F32" s="8">
        <v>7.3696074894917807E-3</v>
      </c>
      <c r="G32" s="8">
        <v>3.1937278401237279E-3</v>
      </c>
      <c r="H32" s="8">
        <v>1.8746781524577427E-2</v>
      </c>
      <c r="I32" s="8">
        <v>2.6406735850705187E-2</v>
      </c>
      <c r="J32" s="8">
        <v>1.9037128361213407E-2</v>
      </c>
      <c r="K32" s="8">
        <v>-0.62899615037028533</v>
      </c>
      <c r="L32" s="8">
        <v>-0.62427409560093527</v>
      </c>
      <c r="M32" s="8">
        <v>-0.60846181958720125</v>
      </c>
      <c r="N32" s="8">
        <v>1.1090221244383969E-2</v>
      </c>
      <c r="O32" s="43">
        <v>4.0051905400000001</v>
      </c>
      <c r="P32" s="4"/>
      <c r="Q32" s="8">
        <v>5.5</v>
      </c>
      <c r="R32" s="8">
        <v>3.989786383957963E-3</v>
      </c>
      <c r="S32" s="8">
        <v>-3.0344633432126678E-3</v>
      </c>
      <c r="T32" s="8">
        <v>7.3696074894917807E-3</v>
      </c>
      <c r="U32" s="8">
        <v>3.1937278401237279E-3</v>
      </c>
      <c r="V32" s="8">
        <v>1.8746781524577427E-2</v>
      </c>
      <c r="W32" s="8">
        <v>2.6406735850705187E-2</v>
      </c>
      <c r="X32" s="8">
        <v>1.9037128361213407E-2</v>
      </c>
      <c r="Y32" s="8">
        <v>-0.62899615037028533</v>
      </c>
      <c r="Z32" s="8">
        <v>-0.62427409560093527</v>
      </c>
      <c r="AA32" s="8">
        <v>-0.60846181958720125</v>
      </c>
      <c r="AB32" s="8">
        <v>1.1090221244383969E-2</v>
      </c>
      <c r="AC32" s="47">
        <v>3.9954217399999998</v>
      </c>
      <c r="AE32" s="12">
        <f t="shared" si="0"/>
        <v>0</v>
      </c>
      <c r="AF32" s="12">
        <f t="shared" si="1"/>
        <v>0</v>
      </c>
      <c r="AG32" s="12">
        <f t="shared" si="2"/>
        <v>0</v>
      </c>
      <c r="AH32" s="12">
        <f t="shared" si="3"/>
        <v>0</v>
      </c>
      <c r="AI32" s="12">
        <f t="shared" si="4"/>
        <v>0</v>
      </c>
      <c r="AJ32" s="12">
        <f t="shared" si="5"/>
        <v>0</v>
      </c>
      <c r="AK32" s="12">
        <f t="shared" si="6"/>
        <v>0</v>
      </c>
      <c r="AL32" s="12">
        <f t="shared" si="7"/>
        <v>0</v>
      </c>
      <c r="AM32" s="12">
        <f t="shared" si="8"/>
        <v>0</v>
      </c>
      <c r="AN32" s="12">
        <f t="shared" si="9"/>
        <v>0</v>
      </c>
      <c r="AO32" s="12">
        <f t="shared" si="10"/>
        <v>0</v>
      </c>
      <c r="AP32" s="12">
        <f t="shared" si="11"/>
        <v>0</v>
      </c>
      <c r="AQ32" s="12">
        <f t="shared" si="12"/>
        <v>9.7688000000002443E-5</v>
      </c>
      <c r="AR32" s="4"/>
      <c r="AS32" s="3"/>
    </row>
    <row r="33" spans="1:45" ht="15" x14ac:dyDescent="0.25">
      <c r="A33" s="1">
        <v>1984</v>
      </c>
      <c r="B33" s="8">
        <v>5.2</v>
      </c>
      <c r="C33" s="8">
        <v>3.9914581386182313E-3</v>
      </c>
      <c r="D33" s="8">
        <v>-1.2486016285045531E-2</v>
      </c>
      <c r="E33" s="8">
        <v>-1.597639594953959E-3</v>
      </c>
      <c r="F33" s="8">
        <v>-1.597639594953959E-3</v>
      </c>
      <c r="G33" s="8">
        <v>-3.0344633432126678E-3</v>
      </c>
      <c r="H33" s="8">
        <v>7.3696074894917807E-3</v>
      </c>
      <c r="I33" s="8">
        <v>2.4809096255751228E-2</v>
      </c>
      <c r="J33" s="8">
        <v>2.6406735850705187E-2</v>
      </c>
      <c r="K33" s="8">
        <v>-0.63376610583928017</v>
      </c>
      <c r="L33" s="8">
        <v>-0.62899615037028533</v>
      </c>
      <c r="M33" s="8">
        <v>-0.62427409560093527</v>
      </c>
      <c r="N33" s="8">
        <v>-4.7900699644776168E-5</v>
      </c>
      <c r="O33" s="43">
        <v>3.88139594</v>
      </c>
      <c r="P33" s="4"/>
      <c r="Q33" s="8">
        <v>5.2</v>
      </c>
      <c r="R33" s="8">
        <v>3.9914581386182313E-3</v>
      </c>
      <c r="S33" s="8">
        <v>-1.2486016285045531E-2</v>
      </c>
      <c r="T33" s="8">
        <v>-1.597639594953959E-3</v>
      </c>
      <c r="U33" s="8">
        <v>-3.0344633432126678E-3</v>
      </c>
      <c r="V33" s="8">
        <v>7.3696074894917807E-3</v>
      </c>
      <c r="W33" s="8">
        <v>2.4809096255751228E-2</v>
      </c>
      <c r="X33" s="8">
        <v>2.6406735850705187E-2</v>
      </c>
      <c r="Y33" s="8">
        <v>-0.63376610583928017</v>
      </c>
      <c r="Z33" s="8">
        <v>-0.62899615037028533</v>
      </c>
      <c r="AA33" s="8">
        <v>-0.62427409560093527</v>
      </c>
      <c r="AB33" s="8">
        <v>-4.7900699644776168E-5</v>
      </c>
      <c r="AC33" s="47">
        <v>3.9190794900000001</v>
      </c>
      <c r="AE33" s="12">
        <f t="shared" si="0"/>
        <v>0</v>
      </c>
      <c r="AF33" s="12">
        <f t="shared" si="1"/>
        <v>0</v>
      </c>
      <c r="AG33" s="12">
        <f t="shared" si="2"/>
        <v>0</v>
      </c>
      <c r="AH33" s="12">
        <f t="shared" si="3"/>
        <v>0</v>
      </c>
      <c r="AI33" s="12">
        <f t="shared" si="4"/>
        <v>0</v>
      </c>
      <c r="AJ33" s="12">
        <f t="shared" si="5"/>
        <v>0</v>
      </c>
      <c r="AK33" s="12">
        <f t="shared" si="6"/>
        <v>0</v>
      </c>
      <c r="AL33" s="12">
        <f t="shared" si="7"/>
        <v>0</v>
      </c>
      <c r="AM33" s="12">
        <f t="shared" si="8"/>
        <v>0</v>
      </c>
      <c r="AN33" s="12">
        <f t="shared" si="9"/>
        <v>0</v>
      </c>
      <c r="AO33" s="12">
        <f t="shared" si="10"/>
        <v>0</v>
      </c>
      <c r="AP33" s="12">
        <f t="shared" si="11"/>
        <v>0</v>
      </c>
      <c r="AQ33" s="12">
        <f t="shared" si="12"/>
        <v>-3.7683550000000121E-4</v>
      </c>
      <c r="AR33" s="4"/>
      <c r="AS33" s="3"/>
    </row>
    <row r="34" spans="1:45" ht="15" x14ac:dyDescent="0.25">
      <c r="A34" s="1">
        <v>1985</v>
      </c>
      <c r="B34" s="8">
        <v>4.9000000000000004</v>
      </c>
      <c r="C34" s="8">
        <v>-9.5088235262164034E-4</v>
      </c>
      <c r="D34" s="8">
        <v>1.870794564497813E-2</v>
      </c>
      <c r="E34" s="8">
        <v>6.5627159356429488E-3</v>
      </c>
      <c r="F34" s="8">
        <v>6.5627159356429488E-3</v>
      </c>
      <c r="G34" s="8">
        <v>-1.2486016285045531E-2</v>
      </c>
      <c r="H34" s="8">
        <v>-1.597639594953959E-3</v>
      </c>
      <c r="I34" s="8">
        <v>3.1371812191394177E-2</v>
      </c>
      <c r="J34" s="8">
        <v>2.4809096255751228E-2</v>
      </c>
      <c r="K34" s="8">
        <v>-0.61070614748043051</v>
      </c>
      <c r="L34" s="8">
        <v>-0.63376610583928017</v>
      </c>
      <c r="M34" s="8">
        <v>-0.62899615037028533</v>
      </c>
      <c r="N34" s="8">
        <v>2.7829913827844499E-2</v>
      </c>
      <c r="O34" s="43">
        <v>3.8680254999999999</v>
      </c>
      <c r="P34" s="4"/>
      <c r="Q34" s="8">
        <v>4.9000000000000004</v>
      </c>
      <c r="R34" s="8">
        <v>-9.5088235262164034E-4</v>
      </c>
      <c r="S34" s="8">
        <v>1.870794564497813E-2</v>
      </c>
      <c r="T34" s="8">
        <v>6.5627159356429488E-3</v>
      </c>
      <c r="U34" s="8">
        <v>-1.2486016285045531E-2</v>
      </c>
      <c r="V34" s="8">
        <v>-1.597639594953959E-3</v>
      </c>
      <c r="W34" s="8">
        <v>3.1371812191394177E-2</v>
      </c>
      <c r="X34" s="8">
        <v>2.4809096255751228E-2</v>
      </c>
      <c r="Y34" s="8">
        <v>-0.61070614748043051</v>
      </c>
      <c r="Z34" s="8">
        <v>-0.63376610583928017</v>
      </c>
      <c r="AA34" s="8">
        <v>-0.62899615037028533</v>
      </c>
      <c r="AB34" s="8">
        <v>2.7829913827844499E-2</v>
      </c>
      <c r="AC34" s="47">
        <v>3.9527646000000001</v>
      </c>
      <c r="AE34" s="12">
        <f t="shared" si="0"/>
        <v>0</v>
      </c>
      <c r="AF34" s="12">
        <f t="shared" si="1"/>
        <v>0</v>
      </c>
      <c r="AG34" s="12">
        <f t="shared" si="2"/>
        <v>0</v>
      </c>
      <c r="AH34" s="12">
        <f t="shared" si="3"/>
        <v>0</v>
      </c>
      <c r="AI34" s="12">
        <f t="shared" si="4"/>
        <v>0</v>
      </c>
      <c r="AJ34" s="12">
        <f t="shared" si="5"/>
        <v>0</v>
      </c>
      <c r="AK34" s="12">
        <f t="shared" si="6"/>
        <v>0</v>
      </c>
      <c r="AL34" s="12">
        <f t="shared" si="7"/>
        <v>0</v>
      </c>
      <c r="AM34" s="12">
        <f t="shared" si="8"/>
        <v>0</v>
      </c>
      <c r="AN34" s="12">
        <f t="shared" si="9"/>
        <v>0</v>
      </c>
      <c r="AO34" s="12">
        <f t="shared" si="10"/>
        <v>0</v>
      </c>
      <c r="AP34" s="12">
        <f t="shared" si="11"/>
        <v>0</v>
      </c>
      <c r="AQ34" s="12">
        <f t="shared" si="12"/>
        <v>-8.4739100000000181E-4</v>
      </c>
      <c r="AR34" s="4"/>
      <c r="AS34" s="3"/>
    </row>
    <row r="35" spans="1:45" ht="15" x14ac:dyDescent="0.25">
      <c r="A35" s="1">
        <v>1986</v>
      </c>
      <c r="B35" s="8">
        <v>5.2</v>
      </c>
      <c r="C35" s="8">
        <v>-2.9924736525509088E-2</v>
      </c>
      <c r="D35" s="8">
        <v>-1.2200665777862163E-2</v>
      </c>
      <c r="E35" s="8">
        <v>-1.6607805077581972E-3</v>
      </c>
      <c r="F35" s="8">
        <v>-1.6607805077581972E-3</v>
      </c>
      <c r="G35" s="8">
        <v>1.870794564497813E-2</v>
      </c>
      <c r="H35" s="8">
        <v>6.5627159356429488E-3</v>
      </c>
      <c r="I35" s="8">
        <v>2.971103168363598E-2</v>
      </c>
      <c r="J35" s="8">
        <v>3.1371812191394177E-2</v>
      </c>
      <c r="K35" s="8">
        <v>-0.6142478693975455</v>
      </c>
      <c r="L35" s="8">
        <v>-0.61070614748043051</v>
      </c>
      <c r="M35" s="8">
        <v>-0.63376610583928017</v>
      </c>
      <c r="N35" s="8">
        <v>-2.6601680275964656E-2</v>
      </c>
      <c r="O35" s="43">
        <v>4.13087114</v>
      </c>
      <c r="P35" s="4"/>
      <c r="Q35" s="8">
        <v>5.2</v>
      </c>
      <c r="R35" s="8">
        <v>-2.9924736525509088E-2</v>
      </c>
      <c r="S35" s="8">
        <v>-1.2200665777862163E-2</v>
      </c>
      <c r="T35" s="8">
        <v>-1.6607805077581972E-3</v>
      </c>
      <c r="U35" s="8">
        <v>1.870794564497813E-2</v>
      </c>
      <c r="V35" s="8">
        <v>6.5627159356429488E-3</v>
      </c>
      <c r="W35" s="8">
        <v>2.971103168363598E-2</v>
      </c>
      <c r="X35" s="8">
        <v>3.1371812191394177E-2</v>
      </c>
      <c r="Y35" s="8">
        <v>-0.6142478693975455</v>
      </c>
      <c r="Z35" s="8">
        <v>-0.61070614748043051</v>
      </c>
      <c r="AA35" s="8">
        <v>-0.63376610583928017</v>
      </c>
      <c r="AB35" s="8">
        <v>-2.6601680275964656E-2</v>
      </c>
      <c r="AC35" s="47">
        <v>4.24471548</v>
      </c>
      <c r="AE35" s="12">
        <f t="shared" si="0"/>
        <v>0</v>
      </c>
      <c r="AF35" s="12">
        <f t="shared" si="1"/>
        <v>0</v>
      </c>
      <c r="AG35" s="12">
        <f t="shared" si="2"/>
        <v>0</v>
      </c>
      <c r="AH35" s="12">
        <f t="shared" si="3"/>
        <v>0</v>
      </c>
      <c r="AI35" s="12">
        <f t="shared" si="4"/>
        <v>0</v>
      </c>
      <c r="AJ35" s="12">
        <f t="shared" si="5"/>
        <v>0</v>
      </c>
      <c r="AK35" s="12">
        <f t="shared" si="6"/>
        <v>0</v>
      </c>
      <c r="AL35" s="12">
        <f t="shared" si="7"/>
        <v>0</v>
      </c>
      <c r="AM35" s="12">
        <f t="shared" si="8"/>
        <v>0</v>
      </c>
      <c r="AN35" s="12">
        <f t="shared" si="9"/>
        <v>0</v>
      </c>
      <c r="AO35" s="12">
        <f t="shared" si="10"/>
        <v>0</v>
      </c>
      <c r="AP35" s="12">
        <f t="shared" si="11"/>
        <v>0</v>
      </c>
      <c r="AQ35" s="12">
        <f t="shared" si="12"/>
        <v>-1.1384434E-3</v>
      </c>
      <c r="AR35" s="4"/>
      <c r="AS35" s="3"/>
    </row>
    <row r="36" spans="1:45" ht="15" x14ac:dyDescent="0.25">
      <c r="A36" s="1">
        <v>1987</v>
      </c>
      <c r="B36" s="8">
        <v>4.8000000000000007</v>
      </c>
      <c r="C36" s="8">
        <v>3.6719079209646122E-3</v>
      </c>
      <c r="D36" s="8">
        <v>-2.5449839716988887E-3</v>
      </c>
      <c r="E36" s="8">
        <v>-6.1103153908015351E-4</v>
      </c>
      <c r="F36" s="8">
        <v>-6.1103153908015351E-4</v>
      </c>
      <c r="G36" s="8">
        <v>-1.2200665777862163E-2</v>
      </c>
      <c r="H36" s="8">
        <v>-1.6607805077581972E-3</v>
      </c>
      <c r="I36" s="8">
        <v>2.9100000144555827E-2</v>
      </c>
      <c r="J36" s="8">
        <v>2.971103168363598E-2</v>
      </c>
      <c r="K36" s="8">
        <v>-0.60645130601056463</v>
      </c>
      <c r="L36" s="8">
        <v>-0.6142478693975455</v>
      </c>
      <c r="M36" s="8">
        <v>-0.61070614748043051</v>
      </c>
      <c r="N36" s="8">
        <v>1.1338285304095863E-2</v>
      </c>
      <c r="O36" s="43">
        <v>4.5407365400000002</v>
      </c>
      <c r="P36" s="4"/>
      <c r="Q36" s="8">
        <v>4.8000000000000007</v>
      </c>
      <c r="R36" s="8">
        <v>3.6719079209646122E-3</v>
      </c>
      <c r="S36" s="8">
        <v>-2.5449839716988887E-3</v>
      </c>
      <c r="T36" s="8">
        <v>-6.1103153908015351E-4</v>
      </c>
      <c r="U36" s="8">
        <v>-1.2200665777862163E-2</v>
      </c>
      <c r="V36" s="8">
        <v>-1.6607805077581972E-3</v>
      </c>
      <c r="W36" s="8">
        <v>2.9100000144555827E-2</v>
      </c>
      <c r="X36" s="8">
        <v>2.971103168363598E-2</v>
      </c>
      <c r="Y36" s="8">
        <v>-0.60645130601056463</v>
      </c>
      <c r="Z36" s="8">
        <v>-0.6142478693975455</v>
      </c>
      <c r="AA36" s="8">
        <v>-0.61070614748043051</v>
      </c>
      <c r="AB36" s="8">
        <v>1.1338285304095863E-2</v>
      </c>
      <c r="AC36" s="47">
        <v>4.6744159500000002</v>
      </c>
      <c r="AE36" s="12">
        <f t="shared" si="0"/>
        <v>0</v>
      </c>
      <c r="AF36" s="12">
        <f t="shared" si="1"/>
        <v>0</v>
      </c>
      <c r="AG36" s="12">
        <f t="shared" si="2"/>
        <v>0</v>
      </c>
      <c r="AH36" s="12">
        <f t="shared" si="3"/>
        <v>0</v>
      </c>
      <c r="AI36" s="12">
        <f t="shared" si="4"/>
        <v>0</v>
      </c>
      <c r="AJ36" s="12">
        <f t="shared" si="5"/>
        <v>0</v>
      </c>
      <c r="AK36" s="12">
        <f t="shared" si="6"/>
        <v>0</v>
      </c>
      <c r="AL36" s="12">
        <f t="shared" si="7"/>
        <v>0</v>
      </c>
      <c r="AM36" s="12">
        <f t="shared" si="8"/>
        <v>0</v>
      </c>
      <c r="AN36" s="12">
        <f t="shared" si="9"/>
        <v>0</v>
      </c>
      <c r="AO36" s="12">
        <f t="shared" si="10"/>
        <v>0</v>
      </c>
      <c r="AP36" s="12">
        <f t="shared" si="11"/>
        <v>0</v>
      </c>
      <c r="AQ36" s="12">
        <f t="shared" si="12"/>
        <v>-1.3367941000000006E-3</v>
      </c>
      <c r="AR36" s="4"/>
      <c r="AS36" s="3"/>
    </row>
    <row r="37" spans="1:45" ht="15" x14ac:dyDescent="0.25">
      <c r="A37" s="1">
        <v>1988</v>
      </c>
      <c r="B37" s="8">
        <v>4.2</v>
      </c>
      <c r="C37" s="8">
        <v>1.2560924224632277E-2</v>
      </c>
      <c r="D37" s="8">
        <v>-1.8707281455217162E-2</v>
      </c>
      <c r="E37" s="8">
        <v>1.2587669127876122E-2</v>
      </c>
      <c r="F37" s="8">
        <v>1.2587669127876122E-2</v>
      </c>
      <c r="G37" s="8">
        <v>-2.5449839716988887E-3</v>
      </c>
      <c r="H37" s="8">
        <v>-6.1103153908015351E-4</v>
      </c>
      <c r="I37" s="8">
        <v>4.1687669272431949E-2</v>
      </c>
      <c r="J37" s="8">
        <v>2.9100000144555827E-2</v>
      </c>
      <c r="K37" s="8">
        <v>-0.63005029062282425</v>
      </c>
      <c r="L37" s="8">
        <v>-0.60645130601056463</v>
      </c>
      <c r="M37" s="8">
        <v>-0.6142478693975455</v>
      </c>
      <c r="N37" s="8">
        <v>-3.1395547999240492E-2</v>
      </c>
      <c r="O37" s="43">
        <v>5.17580828</v>
      </c>
      <c r="P37" s="4"/>
      <c r="Q37" s="8">
        <v>4.2</v>
      </c>
      <c r="R37" s="8">
        <v>1.2560924224632277E-2</v>
      </c>
      <c r="S37" s="8">
        <v>-1.8707281455217162E-2</v>
      </c>
      <c r="T37" s="8">
        <v>1.2587669127876122E-2</v>
      </c>
      <c r="U37" s="8">
        <v>-2.5449839716988887E-3</v>
      </c>
      <c r="V37" s="8">
        <v>-6.1103153908015351E-4</v>
      </c>
      <c r="W37" s="8">
        <v>4.1687669272431949E-2</v>
      </c>
      <c r="X37" s="8">
        <v>2.9100000144555827E-2</v>
      </c>
      <c r="Y37" s="8">
        <v>-0.63005029062282425</v>
      </c>
      <c r="Z37" s="8">
        <v>-0.60645130601056463</v>
      </c>
      <c r="AA37" s="8">
        <v>-0.6142478693975455</v>
      </c>
      <c r="AB37" s="8">
        <v>-3.1395547999240492E-2</v>
      </c>
      <c r="AC37" s="47">
        <v>5.3095495399999999</v>
      </c>
      <c r="AE37" s="12">
        <f t="shared" si="0"/>
        <v>0</v>
      </c>
      <c r="AF37" s="12">
        <f t="shared" si="1"/>
        <v>0</v>
      </c>
      <c r="AG37" s="12">
        <f t="shared" si="2"/>
        <v>0</v>
      </c>
      <c r="AH37" s="12">
        <f t="shared" si="3"/>
        <v>0</v>
      </c>
      <c r="AI37" s="12">
        <f t="shared" si="4"/>
        <v>0</v>
      </c>
      <c r="AJ37" s="12">
        <f t="shared" si="5"/>
        <v>0</v>
      </c>
      <c r="AK37" s="12">
        <f t="shared" si="6"/>
        <v>0</v>
      </c>
      <c r="AL37" s="12">
        <f t="shared" si="7"/>
        <v>0</v>
      </c>
      <c r="AM37" s="12">
        <f t="shared" si="8"/>
        <v>0</v>
      </c>
      <c r="AN37" s="12">
        <f t="shared" si="9"/>
        <v>0</v>
      </c>
      <c r="AO37" s="12">
        <f t="shared" si="10"/>
        <v>0</v>
      </c>
      <c r="AP37" s="12">
        <f t="shared" si="11"/>
        <v>0</v>
      </c>
      <c r="AQ37" s="12">
        <f t="shared" si="12"/>
        <v>-1.3374125999999985E-3</v>
      </c>
      <c r="AR37" s="4"/>
      <c r="AS37" s="3"/>
    </row>
    <row r="38" spans="1:45" ht="15" x14ac:dyDescent="0.25">
      <c r="A38" s="1">
        <v>1989</v>
      </c>
      <c r="B38" s="8">
        <v>3.1</v>
      </c>
      <c r="C38" s="8">
        <v>1.325235756390164E-2</v>
      </c>
      <c r="D38" s="8">
        <v>2.0549083328510243E-2</v>
      </c>
      <c r="E38" s="8">
        <v>-7.7398326610800261E-4</v>
      </c>
      <c r="F38" s="8">
        <v>-7.7398326610800261E-4</v>
      </c>
      <c r="G38" s="8">
        <v>-1.8707281455217162E-2</v>
      </c>
      <c r="H38" s="8">
        <v>1.2587669127876122E-2</v>
      </c>
      <c r="I38" s="8">
        <v>4.0913686006323946E-2</v>
      </c>
      <c r="J38" s="8">
        <v>4.1687669272431949E-2</v>
      </c>
      <c r="K38" s="8">
        <v>-0.62905809663221501</v>
      </c>
      <c r="L38" s="8">
        <v>-0.63005029062282425</v>
      </c>
      <c r="M38" s="8">
        <v>-0.60645130601056463</v>
      </c>
      <c r="N38" s="8">
        <v>2.4591178602868857E-2</v>
      </c>
      <c r="O38" s="43">
        <v>5.9036399299999998</v>
      </c>
      <c r="P38" s="4"/>
      <c r="Q38" s="8">
        <v>3.1</v>
      </c>
      <c r="R38" s="8">
        <v>1.325235756390164E-2</v>
      </c>
      <c r="S38" s="8">
        <v>2.0549083328510243E-2</v>
      </c>
      <c r="T38" s="8">
        <v>-7.7398326610800261E-4</v>
      </c>
      <c r="U38" s="8">
        <v>-1.8707281455217162E-2</v>
      </c>
      <c r="V38" s="8">
        <v>1.2587669127876122E-2</v>
      </c>
      <c r="W38" s="8">
        <v>4.0913686006323946E-2</v>
      </c>
      <c r="X38" s="8">
        <v>4.1687669272431949E-2</v>
      </c>
      <c r="Y38" s="8">
        <v>-0.62905809663221501</v>
      </c>
      <c r="Z38" s="8">
        <v>-0.63005029062282425</v>
      </c>
      <c r="AA38" s="8">
        <v>-0.60645130601056463</v>
      </c>
      <c r="AB38" s="8">
        <v>2.4591178602868857E-2</v>
      </c>
      <c r="AC38" s="47">
        <v>6.0282251899999997</v>
      </c>
      <c r="AE38" s="12">
        <f t="shared" si="0"/>
        <v>0</v>
      </c>
      <c r="AF38" s="12">
        <f t="shared" si="1"/>
        <v>0</v>
      </c>
      <c r="AG38" s="12">
        <f t="shared" si="2"/>
        <v>0</v>
      </c>
      <c r="AH38" s="12">
        <f t="shared" si="3"/>
        <v>0</v>
      </c>
      <c r="AI38" s="12">
        <f t="shared" si="4"/>
        <v>0</v>
      </c>
      <c r="AJ38" s="12">
        <f t="shared" si="5"/>
        <v>0</v>
      </c>
      <c r="AK38" s="12">
        <f t="shared" si="6"/>
        <v>0</v>
      </c>
      <c r="AL38" s="12">
        <f t="shared" si="7"/>
        <v>0</v>
      </c>
      <c r="AM38" s="12">
        <f t="shared" si="8"/>
        <v>0</v>
      </c>
      <c r="AN38" s="12">
        <f t="shared" si="9"/>
        <v>0</v>
      </c>
      <c r="AO38" s="12">
        <f t="shared" si="10"/>
        <v>0</v>
      </c>
      <c r="AP38" s="12">
        <f t="shared" si="11"/>
        <v>0</v>
      </c>
      <c r="AQ38" s="12">
        <f t="shared" si="12"/>
        <v>-1.2458525999999991E-3</v>
      </c>
      <c r="AR38" s="4"/>
      <c r="AS38" s="3"/>
    </row>
    <row r="39" spans="1:45" ht="15" x14ac:dyDescent="0.25">
      <c r="A39" s="1">
        <v>1990</v>
      </c>
      <c r="B39" s="8">
        <v>3.2</v>
      </c>
      <c r="C39" s="8">
        <v>-7.8924622618774445E-3</v>
      </c>
      <c r="D39" s="8">
        <v>1.9382320175426848E-2</v>
      </c>
      <c r="E39" s="8">
        <v>-3.0918113781726708E-2</v>
      </c>
      <c r="F39" s="8">
        <v>-3.0918113781726708E-2</v>
      </c>
      <c r="G39" s="8">
        <v>2.0549083328510243E-2</v>
      </c>
      <c r="H39" s="8">
        <v>-7.7398326610800261E-4</v>
      </c>
      <c r="I39" s="8">
        <v>9.9955722245972378E-3</v>
      </c>
      <c r="J39" s="8">
        <v>4.0913686006323946E-2</v>
      </c>
      <c r="K39" s="8">
        <v>-0.59856603742098291</v>
      </c>
      <c r="L39" s="8">
        <v>-0.62905809663221501</v>
      </c>
      <c r="M39" s="8">
        <v>-0.63005029062282425</v>
      </c>
      <c r="N39" s="8">
        <v>2.9499865220622867E-2</v>
      </c>
      <c r="O39" s="43">
        <v>6.8151165799999998</v>
      </c>
      <c r="P39" s="4"/>
      <c r="Q39" s="8">
        <v>3.2</v>
      </c>
      <c r="R39" s="8">
        <v>-7.8924622618774445E-3</v>
      </c>
      <c r="S39" s="8">
        <v>1.9382320175426848E-2</v>
      </c>
      <c r="T39" s="8">
        <v>-3.0918113781726708E-2</v>
      </c>
      <c r="U39" s="8">
        <v>2.0549083328510243E-2</v>
      </c>
      <c r="V39" s="8">
        <v>-7.7398326610800261E-4</v>
      </c>
      <c r="W39" s="8">
        <v>9.9955722245972378E-3</v>
      </c>
      <c r="X39" s="8">
        <v>4.0913686006323946E-2</v>
      </c>
      <c r="Y39" s="8">
        <v>-0.59856603742098291</v>
      </c>
      <c r="Z39" s="8">
        <v>-0.62905809663221501</v>
      </c>
      <c r="AA39" s="8">
        <v>-0.63005029062282425</v>
      </c>
      <c r="AB39" s="8">
        <v>2.9499865220622867E-2</v>
      </c>
      <c r="AC39" s="47">
        <v>6.9130111400000001</v>
      </c>
      <c r="AE39" s="12">
        <f t="shared" si="0"/>
        <v>0</v>
      </c>
      <c r="AF39" s="12">
        <f t="shared" si="1"/>
        <v>0</v>
      </c>
      <c r="AG39" s="12">
        <f t="shared" si="2"/>
        <v>0</v>
      </c>
      <c r="AH39" s="12">
        <f t="shared" si="3"/>
        <v>0</v>
      </c>
      <c r="AI39" s="12">
        <f t="shared" si="4"/>
        <v>0</v>
      </c>
      <c r="AJ39" s="12">
        <f t="shared" si="5"/>
        <v>0</v>
      </c>
      <c r="AK39" s="12">
        <f t="shared" si="6"/>
        <v>0</v>
      </c>
      <c r="AL39" s="12">
        <f t="shared" si="7"/>
        <v>0</v>
      </c>
      <c r="AM39" s="12">
        <f t="shared" si="8"/>
        <v>0</v>
      </c>
      <c r="AN39" s="12">
        <f t="shared" si="9"/>
        <v>0</v>
      </c>
      <c r="AO39" s="12">
        <f t="shared" si="10"/>
        <v>0</v>
      </c>
      <c r="AP39" s="12">
        <f t="shared" si="11"/>
        <v>0</v>
      </c>
      <c r="AQ39" s="12">
        <f t="shared" si="12"/>
        <v>-9.7894560000000297E-4</v>
      </c>
      <c r="AR39" s="4"/>
      <c r="AS39" s="3"/>
    </row>
    <row r="40" spans="1:45" ht="15" x14ac:dyDescent="0.25">
      <c r="A40" s="1">
        <v>1991</v>
      </c>
      <c r="B40" s="8">
        <v>6.6</v>
      </c>
      <c r="C40" s="8">
        <v>-3.2013069102462932E-2</v>
      </c>
      <c r="D40" s="8">
        <v>2.9347873720473761E-2</v>
      </c>
      <c r="E40" s="8">
        <v>-1.3852580570382189E-2</v>
      </c>
      <c r="F40" s="8">
        <v>-1.3852580570382189E-2</v>
      </c>
      <c r="G40" s="8">
        <v>1.9382320175426848E-2</v>
      </c>
      <c r="H40" s="8">
        <v>-3.0918113781726708E-2</v>
      </c>
      <c r="I40" s="8">
        <v>-3.8570083457849513E-3</v>
      </c>
      <c r="J40" s="8">
        <v>9.9955722245972378E-3</v>
      </c>
      <c r="K40" s="8">
        <v>-0.5490228085818275</v>
      </c>
      <c r="L40" s="8">
        <v>-0.59856603742098291</v>
      </c>
      <c r="M40" s="8">
        <v>-0.62905809663221501</v>
      </c>
      <c r="N40" s="8">
        <v>1.9051169627923303E-2</v>
      </c>
      <c r="O40" s="43">
        <v>8.0972480600000001</v>
      </c>
      <c r="P40" s="4"/>
      <c r="Q40" s="8">
        <v>6.6</v>
      </c>
      <c r="R40" s="8">
        <v>-3.2013069102462932E-2</v>
      </c>
      <c r="S40" s="8">
        <v>2.9347873720473761E-2</v>
      </c>
      <c r="T40" s="8">
        <v>-1.3852580570382189E-2</v>
      </c>
      <c r="U40" s="8">
        <v>1.9382320175426848E-2</v>
      </c>
      <c r="V40" s="8">
        <v>-3.0918113781726708E-2</v>
      </c>
      <c r="W40" s="8">
        <v>-3.8570083457849513E-3</v>
      </c>
      <c r="X40" s="8">
        <v>9.9955722245972378E-3</v>
      </c>
      <c r="Y40" s="8">
        <v>-0.5490228085818275</v>
      </c>
      <c r="Z40" s="8">
        <v>-0.59856603742098291</v>
      </c>
      <c r="AA40" s="8">
        <v>-0.62905809663221501</v>
      </c>
      <c r="AB40" s="8">
        <v>1.9051169627923303E-2</v>
      </c>
      <c r="AC40" s="47">
        <v>8.1337678199999992</v>
      </c>
      <c r="AE40" s="12">
        <f t="shared" si="0"/>
        <v>0</v>
      </c>
      <c r="AF40" s="12">
        <f t="shared" si="1"/>
        <v>0</v>
      </c>
      <c r="AG40" s="12">
        <f t="shared" si="2"/>
        <v>0</v>
      </c>
      <c r="AH40" s="12">
        <f t="shared" si="3"/>
        <v>0</v>
      </c>
      <c r="AI40" s="12">
        <f t="shared" si="4"/>
        <v>0</v>
      </c>
      <c r="AJ40" s="12">
        <f t="shared" si="5"/>
        <v>0</v>
      </c>
      <c r="AK40" s="12">
        <f t="shared" si="6"/>
        <v>0</v>
      </c>
      <c r="AL40" s="12">
        <f t="shared" si="7"/>
        <v>0</v>
      </c>
      <c r="AM40" s="12">
        <f t="shared" si="8"/>
        <v>0</v>
      </c>
      <c r="AN40" s="12">
        <f t="shared" si="9"/>
        <v>0</v>
      </c>
      <c r="AO40" s="12">
        <f t="shared" si="10"/>
        <v>0</v>
      </c>
      <c r="AP40" s="12">
        <f t="shared" si="11"/>
        <v>0</v>
      </c>
      <c r="AQ40" s="12">
        <f t="shared" si="12"/>
        <v>-3.6519759999999125E-4</v>
      </c>
      <c r="AR40" s="4"/>
      <c r="AS40" s="3"/>
    </row>
    <row r="41" spans="1:45" ht="15" x14ac:dyDescent="0.25">
      <c r="A41" s="1">
        <v>1992</v>
      </c>
      <c r="B41" s="8">
        <v>11.7</v>
      </c>
      <c r="C41" s="8">
        <v>-4.2400387393446204E-2</v>
      </c>
      <c r="D41" s="8">
        <v>-1.3683696434563242E-2</v>
      </c>
      <c r="E41" s="8">
        <v>4.2201899033021517E-2</v>
      </c>
      <c r="F41" s="8">
        <v>4.2201899033021517E-2</v>
      </c>
      <c r="G41" s="8">
        <v>2.9347873720473761E-2</v>
      </c>
      <c r="H41" s="8">
        <v>-1.3852580570382189E-2</v>
      </c>
      <c r="I41" s="8">
        <v>3.8344890687236566E-2</v>
      </c>
      <c r="J41" s="8">
        <v>-3.8570083457849513E-3</v>
      </c>
      <c r="K41" s="8">
        <v>-0.57927391282364504</v>
      </c>
      <c r="L41" s="8">
        <v>-0.5490228085818275</v>
      </c>
      <c r="M41" s="8">
        <v>-0.59856603742098291</v>
      </c>
      <c r="N41" s="8">
        <v>-7.9794333080972946E-2</v>
      </c>
      <c r="O41" s="43">
        <v>9.5046954499999998</v>
      </c>
      <c r="P41" s="4"/>
      <c r="Q41" s="8">
        <v>11.7</v>
      </c>
      <c r="R41" s="8">
        <v>-4.2400387393446204E-2</v>
      </c>
      <c r="S41" s="8">
        <v>-1.3683696434563242E-2</v>
      </c>
      <c r="T41" s="8">
        <v>4.2201899033021517E-2</v>
      </c>
      <c r="U41" s="8">
        <v>2.9347873720473761E-2</v>
      </c>
      <c r="V41" s="8">
        <v>-1.3852580570382189E-2</v>
      </c>
      <c r="W41" s="8">
        <v>3.8344890687236566E-2</v>
      </c>
      <c r="X41" s="8">
        <v>-3.8570083457849513E-3</v>
      </c>
      <c r="Y41" s="8">
        <v>-0.57927391282364504</v>
      </c>
      <c r="Z41" s="8">
        <v>-0.5490228085818275</v>
      </c>
      <c r="AA41" s="8">
        <v>-0.59856603742098291</v>
      </c>
      <c r="AB41" s="8">
        <v>-7.9794333080972946E-2</v>
      </c>
      <c r="AC41" s="47">
        <v>9.4661459200000007</v>
      </c>
      <c r="AE41" s="12">
        <f t="shared" si="0"/>
        <v>0</v>
      </c>
      <c r="AF41" s="12">
        <f t="shared" si="1"/>
        <v>0</v>
      </c>
      <c r="AG41" s="12">
        <f t="shared" si="2"/>
        <v>0</v>
      </c>
      <c r="AH41" s="12">
        <f t="shared" si="3"/>
        <v>0</v>
      </c>
      <c r="AI41" s="12">
        <f t="shared" si="4"/>
        <v>0</v>
      </c>
      <c r="AJ41" s="12">
        <f t="shared" si="5"/>
        <v>0</v>
      </c>
      <c r="AK41" s="12">
        <f t="shared" si="6"/>
        <v>0</v>
      </c>
      <c r="AL41" s="12">
        <f t="shared" si="7"/>
        <v>0</v>
      </c>
      <c r="AM41" s="12">
        <f t="shared" si="8"/>
        <v>0</v>
      </c>
      <c r="AN41" s="12">
        <f t="shared" si="9"/>
        <v>0</v>
      </c>
      <c r="AO41" s="12">
        <f t="shared" si="10"/>
        <v>0</v>
      </c>
      <c r="AP41" s="12">
        <f t="shared" si="11"/>
        <v>0</v>
      </c>
      <c r="AQ41" s="12">
        <f t="shared" si="12"/>
        <v>3.8549529999999167E-4</v>
      </c>
      <c r="AR41" s="4"/>
      <c r="AS41" s="3"/>
    </row>
    <row r="42" spans="1:45" ht="15" x14ac:dyDescent="0.25">
      <c r="A42" s="1">
        <v>1993</v>
      </c>
      <c r="B42" s="8">
        <v>16.3</v>
      </c>
      <c r="C42" s="8">
        <v>-1.4774552344931413E-2</v>
      </c>
      <c r="D42" s="8">
        <v>-2.0242971861665904E-3</v>
      </c>
      <c r="E42" s="8">
        <v>1.6580855074578293E-2</v>
      </c>
      <c r="F42" s="8">
        <v>1.6580855074578293E-2</v>
      </c>
      <c r="G42" s="8">
        <v>-1.3683696434563242E-2</v>
      </c>
      <c r="H42" s="8">
        <v>4.2201899033021517E-2</v>
      </c>
      <c r="I42" s="8">
        <v>5.4925745761814859E-2</v>
      </c>
      <c r="J42" s="8">
        <v>3.8344890687236566E-2</v>
      </c>
      <c r="K42" s="8">
        <v>-0.64703567516326466</v>
      </c>
      <c r="L42" s="8">
        <v>-0.57927391282364504</v>
      </c>
      <c r="M42" s="8">
        <v>-0.5490228085818275</v>
      </c>
      <c r="N42" s="8">
        <v>-3.7510658097802074E-2</v>
      </c>
      <c r="O42" s="43">
        <v>10.81504513</v>
      </c>
      <c r="P42" s="4"/>
      <c r="Q42" s="8">
        <v>16.3</v>
      </c>
      <c r="R42" s="8">
        <v>-1.4774552344931413E-2</v>
      </c>
      <c r="S42" s="8">
        <v>-2.0242971861665904E-3</v>
      </c>
      <c r="T42" s="8">
        <v>1.6580855074578293E-2</v>
      </c>
      <c r="U42" s="8">
        <v>-1.3683696434563242E-2</v>
      </c>
      <c r="V42" s="8">
        <v>4.2201899033021517E-2</v>
      </c>
      <c r="W42" s="8">
        <v>5.4925745761814859E-2</v>
      </c>
      <c r="X42" s="8">
        <v>3.8344890687236566E-2</v>
      </c>
      <c r="Y42" s="8">
        <v>-0.64703567516326466</v>
      </c>
      <c r="Z42" s="8">
        <v>-0.57927391282364504</v>
      </c>
      <c r="AA42" s="8">
        <v>-0.5490228085818275</v>
      </c>
      <c r="AB42" s="8">
        <v>-3.7510658097802074E-2</v>
      </c>
      <c r="AC42" s="47">
        <v>10.705092949999999</v>
      </c>
      <c r="AE42" s="12">
        <f t="shared" si="0"/>
        <v>0</v>
      </c>
      <c r="AF42" s="12">
        <f t="shared" si="1"/>
        <v>0</v>
      </c>
      <c r="AG42" s="12">
        <f t="shared" si="2"/>
        <v>0</v>
      </c>
      <c r="AH42" s="12">
        <f t="shared" si="3"/>
        <v>0</v>
      </c>
      <c r="AI42" s="12">
        <f t="shared" si="4"/>
        <v>0</v>
      </c>
      <c r="AJ42" s="12">
        <f t="shared" si="5"/>
        <v>0</v>
      </c>
      <c r="AK42" s="12">
        <f t="shared" si="6"/>
        <v>0</v>
      </c>
      <c r="AL42" s="12">
        <f t="shared" si="7"/>
        <v>0</v>
      </c>
      <c r="AM42" s="12">
        <f t="shared" si="8"/>
        <v>0</v>
      </c>
      <c r="AN42" s="12">
        <f t="shared" si="9"/>
        <v>0</v>
      </c>
      <c r="AO42" s="12">
        <f t="shared" si="10"/>
        <v>0</v>
      </c>
      <c r="AP42" s="12">
        <f t="shared" si="11"/>
        <v>0</v>
      </c>
      <c r="AQ42" s="12">
        <f t="shared" si="12"/>
        <v>1.099521800000005E-3</v>
      </c>
      <c r="AR42" s="4"/>
      <c r="AS42" s="3"/>
    </row>
    <row r="43" spans="1:45" ht="15" x14ac:dyDescent="0.25">
      <c r="A43" s="1">
        <v>1994</v>
      </c>
      <c r="B43" s="8">
        <v>16.600000000000001</v>
      </c>
      <c r="C43" s="8">
        <v>2.8351361140474651E-2</v>
      </c>
      <c r="D43" s="8">
        <v>-3.4791226340485926E-2</v>
      </c>
      <c r="E43" s="8">
        <v>-3.7436822381682333E-3</v>
      </c>
      <c r="F43" s="8">
        <v>-3.7436822381682333E-3</v>
      </c>
      <c r="G43" s="8">
        <v>-2.0242971861665904E-3</v>
      </c>
      <c r="H43" s="8">
        <v>1.6580855074578293E-2</v>
      </c>
      <c r="I43" s="8">
        <v>5.1182063523646626E-2</v>
      </c>
      <c r="J43" s="8">
        <v>5.4925745761814859E-2</v>
      </c>
      <c r="K43" s="8">
        <v>-0.6814069472035551</v>
      </c>
      <c r="L43" s="8">
        <v>-0.64703567516326466</v>
      </c>
      <c r="M43" s="8">
        <v>-0.57927391282364504</v>
      </c>
      <c r="N43" s="8">
        <v>3.3390490299329167E-2</v>
      </c>
      <c r="O43" s="43">
        <v>11.497846210000001</v>
      </c>
      <c r="P43" s="4"/>
      <c r="Q43" s="8">
        <v>16.600000000000001</v>
      </c>
      <c r="R43" s="8">
        <v>2.8351361140474651E-2</v>
      </c>
      <c r="S43" s="8">
        <v>-3.4791226340485926E-2</v>
      </c>
      <c r="T43" s="8">
        <v>-3.7436822381682333E-3</v>
      </c>
      <c r="U43" s="8">
        <v>-2.0242971861665904E-3</v>
      </c>
      <c r="V43" s="8">
        <v>1.6580855074578293E-2</v>
      </c>
      <c r="W43" s="8">
        <v>5.1182063523646626E-2</v>
      </c>
      <c r="X43" s="8">
        <v>5.4925745761814859E-2</v>
      </c>
      <c r="Y43" s="8">
        <v>-0.6814069472035551</v>
      </c>
      <c r="Z43" s="8">
        <v>-0.64703567516326466</v>
      </c>
      <c r="AA43" s="8">
        <v>-0.57927391282364504</v>
      </c>
      <c r="AB43" s="8">
        <v>3.3390490299329167E-2</v>
      </c>
      <c r="AC43" s="47">
        <v>11.36700905</v>
      </c>
      <c r="AE43" s="12">
        <f t="shared" si="0"/>
        <v>0</v>
      </c>
      <c r="AF43" s="12">
        <f t="shared" si="1"/>
        <v>0</v>
      </c>
      <c r="AG43" s="12">
        <f t="shared" si="2"/>
        <v>0</v>
      </c>
      <c r="AH43" s="12">
        <f t="shared" si="3"/>
        <v>0</v>
      </c>
      <c r="AI43" s="12">
        <f t="shared" si="4"/>
        <v>0</v>
      </c>
      <c r="AJ43" s="12">
        <f t="shared" si="5"/>
        <v>0</v>
      </c>
      <c r="AK43" s="12">
        <f t="shared" si="6"/>
        <v>0</v>
      </c>
      <c r="AL43" s="12">
        <f t="shared" si="7"/>
        <v>0</v>
      </c>
      <c r="AM43" s="12">
        <f t="shared" si="8"/>
        <v>0</v>
      </c>
      <c r="AN43" s="12">
        <f t="shared" si="9"/>
        <v>0</v>
      </c>
      <c r="AO43" s="12">
        <f t="shared" si="10"/>
        <v>0</v>
      </c>
      <c r="AP43" s="12">
        <f t="shared" si="11"/>
        <v>0</v>
      </c>
      <c r="AQ43" s="12">
        <f t="shared" si="12"/>
        <v>1.3083716000000046E-3</v>
      </c>
      <c r="AR43" s="4"/>
      <c r="AS43" s="3"/>
    </row>
    <row r="44" spans="1:45" ht="15" x14ac:dyDescent="0.25">
      <c r="A44" s="1">
        <v>1995</v>
      </c>
      <c r="B44" s="8">
        <v>15.4</v>
      </c>
      <c r="C44" s="8">
        <v>6.7830536173036915E-3</v>
      </c>
      <c r="D44" s="8">
        <v>-2.4326906160680339E-2</v>
      </c>
      <c r="E44" s="8">
        <v>-2.9537140431133535E-2</v>
      </c>
      <c r="F44" s="8">
        <v>-2.9537140431133535E-2</v>
      </c>
      <c r="G44" s="8">
        <v>-3.4791226340485926E-2</v>
      </c>
      <c r="H44" s="8">
        <v>-3.7436822381682333E-3</v>
      </c>
      <c r="I44" s="8">
        <v>2.1644923092513091E-2</v>
      </c>
      <c r="J44" s="8">
        <v>5.1182063523646626E-2</v>
      </c>
      <c r="K44" s="8">
        <v>-0.70384291740698046</v>
      </c>
      <c r="L44" s="8">
        <v>-0.6814069472035551</v>
      </c>
      <c r="M44" s="8">
        <v>-0.64703567516326466</v>
      </c>
      <c r="N44" s="8">
        <v>1.1935301836865086E-2</v>
      </c>
      <c r="O44" s="43">
        <v>11.88967061</v>
      </c>
      <c r="P44" s="4"/>
      <c r="Q44" s="8">
        <v>15.4</v>
      </c>
      <c r="R44" s="8">
        <v>6.7830536173036915E-3</v>
      </c>
      <c r="S44" s="8">
        <v>-2.4326906160680339E-2</v>
      </c>
      <c r="T44" s="8">
        <v>-2.9537140431133535E-2</v>
      </c>
      <c r="U44" s="8">
        <v>-3.4791226340485926E-2</v>
      </c>
      <c r="V44" s="8">
        <v>-3.7436822381682333E-3</v>
      </c>
      <c r="W44" s="8">
        <v>2.1644923092513091E-2</v>
      </c>
      <c r="X44" s="8">
        <v>5.1182063523646626E-2</v>
      </c>
      <c r="Y44" s="8">
        <v>-0.70384291740698046</v>
      </c>
      <c r="Z44" s="8">
        <v>-0.6814069472035551</v>
      </c>
      <c r="AA44" s="8">
        <v>-0.64703567516326466</v>
      </c>
      <c r="AB44" s="8">
        <v>1.1935301836865086E-2</v>
      </c>
      <c r="AC44" s="47">
        <v>11.756938330000001</v>
      </c>
      <c r="AE44" s="12">
        <f t="shared" ref="AE44:AE64" si="13">(B44-Q44)/B44</f>
        <v>0</v>
      </c>
      <c r="AF44" s="12">
        <f t="shared" ref="AF44:AF64" si="14">(C44-R44)/C44</f>
        <v>0</v>
      </c>
      <c r="AG44" s="12">
        <f t="shared" ref="AG44:AG64" si="15">(D44-S44)/D44</f>
        <v>0</v>
      </c>
      <c r="AH44" s="12">
        <f t="shared" ref="AH44:AH64" si="16">(E44-T44)/E44</f>
        <v>0</v>
      </c>
      <c r="AI44" s="12">
        <f t="shared" ref="AI44:AI64" si="17">(G44-U44)/G44</f>
        <v>0</v>
      </c>
      <c r="AJ44" s="12">
        <f t="shared" ref="AJ44:AJ64" si="18">(H44-V44)/H44</f>
        <v>0</v>
      </c>
      <c r="AK44" s="12">
        <f t="shared" ref="AK44:AK64" si="19">(I44-W44)/I44</f>
        <v>0</v>
      </c>
      <c r="AL44" s="12">
        <f t="shared" ref="AL44:AL64" si="20">(J44-X44)/J44</f>
        <v>0</v>
      </c>
      <c r="AM44" s="12">
        <f t="shared" ref="AM44:AM64" si="21">(K44-Y44)/K44</f>
        <v>0</v>
      </c>
      <c r="AN44" s="12">
        <f t="shared" ref="AN44:AN64" si="22">(L44-Z44)/L44</f>
        <v>0</v>
      </c>
      <c r="AO44" s="12">
        <f t="shared" ref="AO44:AO64" si="23">(M44-AA44)/M44</f>
        <v>0</v>
      </c>
      <c r="AP44" s="12">
        <f t="shared" ref="AP44:AP64" si="24">(N44-AB44)/N44</f>
        <v>0</v>
      </c>
      <c r="AQ44" s="12">
        <f t="shared" si="12"/>
        <v>1.3273227999999904E-3</v>
      </c>
      <c r="AR44" s="4"/>
      <c r="AS44" s="3"/>
    </row>
    <row r="45" spans="1:45" ht="15" x14ac:dyDescent="0.25">
      <c r="A45" s="1">
        <v>1996</v>
      </c>
      <c r="B45" s="8">
        <v>14.6</v>
      </c>
      <c r="C45" s="8">
        <v>-1.4653807921088502E-2</v>
      </c>
      <c r="D45" s="8">
        <v>4.83384855975586E-2</v>
      </c>
      <c r="E45" s="8">
        <v>-4.2766877014099869E-4</v>
      </c>
      <c r="F45" s="8">
        <v>-4.2766877014099869E-4</v>
      </c>
      <c r="G45" s="8">
        <v>-2.4326906160680339E-2</v>
      </c>
      <c r="H45" s="8">
        <v>-2.9537140431133535E-2</v>
      </c>
      <c r="I45" s="8">
        <v>2.1217254322372092E-2</v>
      </c>
      <c r="J45" s="8">
        <v>2.1644923092513091E-2</v>
      </c>
      <c r="K45" s="8">
        <v>-0.69414635808790404</v>
      </c>
      <c r="L45" s="8">
        <v>-0.70384291740698046</v>
      </c>
      <c r="M45" s="8">
        <v>-0.6814069472035551</v>
      </c>
      <c r="N45" s="8">
        <v>3.2132529522501785E-2</v>
      </c>
      <c r="O45" s="43">
        <v>12.157986080000001</v>
      </c>
      <c r="P45" s="4"/>
      <c r="Q45" s="8">
        <v>14.6</v>
      </c>
      <c r="R45" s="8">
        <v>-1.4653807921088502E-2</v>
      </c>
      <c r="S45" s="8">
        <v>4.83384855975586E-2</v>
      </c>
      <c r="T45" s="8">
        <v>-4.2766877014099869E-4</v>
      </c>
      <c r="U45" s="8">
        <v>-2.4326906160680339E-2</v>
      </c>
      <c r="V45" s="8">
        <v>-2.9537140431133535E-2</v>
      </c>
      <c r="W45" s="8">
        <v>2.1217254322372092E-2</v>
      </c>
      <c r="X45" s="8">
        <v>2.1644923092513091E-2</v>
      </c>
      <c r="Y45" s="8">
        <v>-0.69414635808790404</v>
      </c>
      <c r="Z45" s="8">
        <v>-0.70384291740698046</v>
      </c>
      <c r="AA45" s="8">
        <v>-0.6814069472035551</v>
      </c>
      <c r="AB45" s="8">
        <v>3.2132529522501785E-2</v>
      </c>
      <c r="AC45" s="47">
        <v>12.026778459999999</v>
      </c>
      <c r="AE45" s="12">
        <f t="shared" si="13"/>
        <v>0</v>
      </c>
      <c r="AF45" s="12">
        <f t="shared" si="14"/>
        <v>0</v>
      </c>
      <c r="AG45" s="12">
        <f t="shared" si="15"/>
        <v>0</v>
      </c>
      <c r="AH45" s="12">
        <f t="shared" si="16"/>
        <v>0</v>
      </c>
      <c r="AI45" s="12">
        <f t="shared" si="17"/>
        <v>0</v>
      </c>
      <c r="AJ45" s="12">
        <f t="shared" si="18"/>
        <v>0</v>
      </c>
      <c r="AK45" s="12">
        <f t="shared" si="19"/>
        <v>0</v>
      </c>
      <c r="AL45" s="12">
        <f t="shared" si="20"/>
        <v>0</v>
      </c>
      <c r="AM45" s="12">
        <f t="shared" si="21"/>
        <v>0</v>
      </c>
      <c r="AN45" s="12">
        <f t="shared" si="22"/>
        <v>0</v>
      </c>
      <c r="AO45" s="12">
        <f t="shared" si="23"/>
        <v>0</v>
      </c>
      <c r="AP45" s="12">
        <f t="shared" si="24"/>
        <v>0</v>
      </c>
      <c r="AQ45" s="12">
        <f t="shared" si="12"/>
        <v>1.3120762000000141E-3</v>
      </c>
      <c r="AR45" s="4"/>
      <c r="AS45" s="3"/>
    </row>
    <row r="46" spans="1:45" ht="15" x14ac:dyDescent="0.25">
      <c r="A46" s="1">
        <v>1997</v>
      </c>
      <c r="B46" s="8">
        <v>12.7</v>
      </c>
      <c r="C46" s="8">
        <v>-9.8079085570368374E-3</v>
      </c>
      <c r="D46" s="8">
        <v>-1.2269436458058225E-2</v>
      </c>
      <c r="E46" s="8">
        <v>5.7659582825460021E-3</v>
      </c>
      <c r="F46" s="8">
        <v>5.7659582825460021E-3</v>
      </c>
      <c r="G46" s="8">
        <v>4.83384855975586E-2</v>
      </c>
      <c r="H46" s="8">
        <v>-4.2766877014099869E-4</v>
      </c>
      <c r="I46" s="8">
        <v>2.6983212604918094E-2</v>
      </c>
      <c r="J46" s="8">
        <v>2.1217254322372092E-2</v>
      </c>
      <c r="K46" s="8">
        <v>-0.72182799248638674</v>
      </c>
      <c r="L46" s="8">
        <v>-0.69414635808790404</v>
      </c>
      <c r="M46" s="8">
        <v>-0.70384291740698046</v>
      </c>
      <c r="N46" s="8">
        <v>-3.7378193717559127E-2</v>
      </c>
      <c r="O46" s="43">
        <v>11.995472149999999</v>
      </c>
      <c r="P46" s="4"/>
      <c r="Q46" s="8">
        <v>12.7</v>
      </c>
      <c r="R46" s="8">
        <v>-9.8079085570368374E-3</v>
      </c>
      <c r="S46" s="8">
        <v>-1.2269436458058225E-2</v>
      </c>
      <c r="T46" s="8">
        <v>5.7659582825460021E-3</v>
      </c>
      <c r="U46" s="8">
        <v>4.83384855975586E-2</v>
      </c>
      <c r="V46" s="8">
        <v>-4.2766877014099869E-4</v>
      </c>
      <c r="W46" s="8">
        <v>2.6983212604918094E-2</v>
      </c>
      <c r="X46" s="8">
        <v>2.1217254322372092E-2</v>
      </c>
      <c r="Y46" s="8">
        <v>-0.72182799248638674</v>
      </c>
      <c r="Z46" s="8">
        <v>-0.69414635808790404</v>
      </c>
      <c r="AA46" s="8">
        <v>-0.70384291740698046</v>
      </c>
      <c r="AB46" s="8">
        <v>-3.7378193717559127E-2</v>
      </c>
      <c r="AC46" s="47">
        <v>11.89631121</v>
      </c>
      <c r="AE46" s="12">
        <f t="shared" si="13"/>
        <v>0</v>
      </c>
      <c r="AF46" s="12">
        <f t="shared" si="14"/>
        <v>0</v>
      </c>
      <c r="AG46" s="12">
        <f t="shared" si="15"/>
        <v>0</v>
      </c>
      <c r="AH46" s="12">
        <f t="shared" si="16"/>
        <v>0</v>
      </c>
      <c r="AI46" s="12">
        <f t="shared" si="17"/>
        <v>0</v>
      </c>
      <c r="AJ46" s="12">
        <f t="shared" si="18"/>
        <v>0</v>
      </c>
      <c r="AK46" s="12">
        <f t="shared" si="19"/>
        <v>0</v>
      </c>
      <c r="AL46" s="12">
        <f t="shared" si="20"/>
        <v>0</v>
      </c>
      <c r="AM46" s="12">
        <f t="shared" si="21"/>
        <v>0</v>
      </c>
      <c r="AN46" s="12">
        <f t="shared" si="22"/>
        <v>0</v>
      </c>
      <c r="AO46" s="12">
        <f t="shared" si="23"/>
        <v>0</v>
      </c>
      <c r="AP46" s="12">
        <f t="shared" si="24"/>
        <v>0</v>
      </c>
      <c r="AQ46" s="12">
        <f t="shared" si="12"/>
        <v>9.9160939999999088E-4</v>
      </c>
      <c r="AR46" s="4"/>
      <c r="AS46" s="3"/>
    </row>
    <row r="47" spans="1:45" ht="15" x14ac:dyDescent="0.25">
      <c r="A47" s="1">
        <v>1998</v>
      </c>
      <c r="B47" s="8">
        <v>11.4</v>
      </c>
      <c r="C47" s="8">
        <v>2.8466501608314099E-2</v>
      </c>
      <c r="D47" s="8">
        <v>-1.2162101901922906E-2</v>
      </c>
      <c r="E47" s="8">
        <v>4.2628631465220224E-3</v>
      </c>
      <c r="F47" s="8">
        <v>4.2628631465220224E-3</v>
      </c>
      <c r="G47" s="8">
        <v>-1.2269436458058225E-2</v>
      </c>
      <c r="H47" s="8">
        <v>5.7659582825460021E-3</v>
      </c>
      <c r="I47" s="8">
        <v>3.1246075751440117E-2</v>
      </c>
      <c r="J47" s="8">
        <v>2.6983212604918094E-2</v>
      </c>
      <c r="K47" s="8">
        <v>-0.73177234610813202</v>
      </c>
      <c r="L47" s="8">
        <v>-0.72182799248638674</v>
      </c>
      <c r="M47" s="8">
        <v>-0.69414635808790404</v>
      </c>
      <c r="N47" s="8">
        <v>1.7737280776737419E-2</v>
      </c>
      <c r="O47" s="43">
        <v>11.6451574</v>
      </c>
      <c r="P47" s="4"/>
      <c r="Q47" s="8">
        <v>11.4</v>
      </c>
      <c r="R47" s="8">
        <v>2.8466501608314099E-2</v>
      </c>
      <c r="S47" s="8">
        <v>-1.2162101901922906E-2</v>
      </c>
      <c r="T47" s="8">
        <v>4.2628631465220224E-3</v>
      </c>
      <c r="U47" s="8">
        <v>-1.2269436458058225E-2</v>
      </c>
      <c r="V47" s="8">
        <v>5.7659582825460021E-3</v>
      </c>
      <c r="W47" s="8">
        <v>3.1246075751440117E-2</v>
      </c>
      <c r="X47" s="8">
        <v>2.6983212604918094E-2</v>
      </c>
      <c r="Y47" s="8">
        <v>-0.73177234610813202</v>
      </c>
      <c r="Z47" s="8">
        <v>-0.72182799248638674</v>
      </c>
      <c r="AA47" s="8">
        <v>-0.69414635808790404</v>
      </c>
      <c r="AB47" s="8">
        <v>1.7737280776737419E-2</v>
      </c>
      <c r="AC47" s="47">
        <v>11.584279459999999</v>
      </c>
      <c r="AE47" s="12">
        <f t="shared" si="13"/>
        <v>0</v>
      </c>
      <c r="AF47" s="12">
        <f t="shared" si="14"/>
        <v>0</v>
      </c>
      <c r="AG47" s="12">
        <f t="shared" si="15"/>
        <v>0</v>
      </c>
      <c r="AH47" s="12">
        <f t="shared" si="16"/>
        <v>0</v>
      </c>
      <c r="AI47" s="12">
        <f t="shared" si="17"/>
        <v>0</v>
      </c>
      <c r="AJ47" s="12">
        <f t="shared" si="18"/>
        <v>0</v>
      </c>
      <c r="AK47" s="12">
        <f t="shared" si="19"/>
        <v>0</v>
      </c>
      <c r="AL47" s="12">
        <f t="shared" si="20"/>
        <v>0</v>
      </c>
      <c r="AM47" s="12">
        <f t="shared" si="21"/>
        <v>0</v>
      </c>
      <c r="AN47" s="12">
        <f t="shared" si="22"/>
        <v>0</v>
      </c>
      <c r="AO47" s="12">
        <f t="shared" si="23"/>
        <v>0</v>
      </c>
      <c r="AP47" s="12">
        <f t="shared" si="24"/>
        <v>0</v>
      </c>
      <c r="AQ47" s="12">
        <f t="shared" si="12"/>
        <v>6.0877940000001016E-4</v>
      </c>
      <c r="AR47" s="4"/>
      <c r="AS47" s="3"/>
    </row>
    <row r="48" spans="1:45" ht="15" x14ac:dyDescent="0.25">
      <c r="A48" s="1">
        <v>1999</v>
      </c>
      <c r="B48" s="8">
        <v>10.199999999999999</v>
      </c>
      <c r="C48" s="8">
        <v>-2.3351803468544485E-2</v>
      </c>
      <c r="D48" s="8">
        <v>1.8075934340023858E-2</v>
      </c>
      <c r="E48" s="8">
        <v>-1.7362613615691025E-2</v>
      </c>
      <c r="F48" s="8">
        <v>-1.7362613615691025E-2</v>
      </c>
      <c r="G48" s="8">
        <v>-1.2162101901922906E-2</v>
      </c>
      <c r="H48" s="8">
        <v>4.2628631465220224E-3</v>
      </c>
      <c r="I48" s="8">
        <v>1.3883462135749092E-2</v>
      </c>
      <c r="J48" s="8">
        <v>3.1246075751440117E-2</v>
      </c>
      <c r="K48" s="8">
        <v>-0.73357888492210321</v>
      </c>
      <c r="L48" s="8">
        <v>-0.73177234610813202</v>
      </c>
      <c r="M48" s="8">
        <v>-0.72182799248638674</v>
      </c>
      <c r="N48" s="8">
        <v>8.1378148077740908E-3</v>
      </c>
      <c r="O48" s="43">
        <v>11.05405165</v>
      </c>
      <c r="P48" s="4"/>
      <c r="Q48" s="8">
        <v>10.199999999999999</v>
      </c>
      <c r="R48" s="8">
        <v>-2.3351803468544485E-2</v>
      </c>
      <c r="S48" s="8">
        <v>1.8075934340023858E-2</v>
      </c>
      <c r="T48" s="8">
        <v>-1.7362613615691025E-2</v>
      </c>
      <c r="U48" s="8">
        <v>-1.2162101901922906E-2</v>
      </c>
      <c r="V48" s="8">
        <v>4.2628631465220224E-3</v>
      </c>
      <c r="W48" s="8">
        <v>1.3883462135749092E-2</v>
      </c>
      <c r="X48" s="8">
        <v>3.1246075751440117E-2</v>
      </c>
      <c r="Y48" s="8">
        <v>-0.73357888492210321</v>
      </c>
      <c r="Z48" s="8">
        <v>-0.73177234610813202</v>
      </c>
      <c r="AA48" s="8">
        <v>-0.72182799248638674</v>
      </c>
      <c r="AB48" s="8">
        <v>8.1378148077740908E-3</v>
      </c>
      <c r="AC48" s="47">
        <v>11.04113147</v>
      </c>
      <c r="AE48" s="12">
        <f t="shared" si="13"/>
        <v>0</v>
      </c>
      <c r="AF48" s="12">
        <f t="shared" si="14"/>
        <v>0</v>
      </c>
      <c r="AG48" s="12">
        <f t="shared" si="15"/>
        <v>0</v>
      </c>
      <c r="AH48" s="12">
        <f t="shared" si="16"/>
        <v>0</v>
      </c>
      <c r="AI48" s="12">
        <f t="shared" si="17"/>
        <v>0</v>
      </c>
      <c r="AJ48" s="12">
        <f t="shared" si="18"/>
        <v>0</v>
      </c>
      <c r="AK48" s="12">
        <f t="shared" si="19"/>
        <v>0</v>
      </c>
      <c r="AL48" s="12">
        <f t="shared" si="20"/>
        <v>0</v>
      </c>
      <c r="AM48" s="12">
        <f t="shared" si="21"/>
        <v>0</v>
      </c>
      <c r="AN48" s="12">
        <f t="shared" si="22"/>
        <v>0</v>
      </c>
      <c r="AO48" s="12">
        <f t="shared" si="23"/>
        <v>0</v>
      </c>
      <c r="AP48" s="12">
        <f t="shared" si="24"/>
        <v>0</v>
      </c>
      <c r="AQ48" s="12">
        <f t="shared" ref="AQ48:AQ69" si="25">(O48-AC48)/100</f>
        <v>1.2920180000000058E-4</v>
      </c>
      <c r="AR48" s="4"/>
      <c r="AS48" s="3"/>
    </row>
    <row r="49" spans="1:45" ht="15" x14ac:dyDescent="0.25">
      <c r="A49" s="1">
        <v>2000</v>
      </c>
      <c r="B49" s="8">
        <v>9.8000000000000007</v>
      </c>
      <c r="C49" s="8">
        <v>1.6953067616341855E-2</v>
      </c>
      <c r="D49" s="8">
        <v>1.2384389143444086E-2</v>
      </c>
      <c r="E49" s="8">
        <v>1.8136800673733688E-2</v>
      </c>
      <c r="F49" s="8">
        <v>1.8136800673733688E-2</v>
      </c>
      <c r="G49" s="8">
        <v>1.8075934340023858E-2</v>
      </c>
      <c r="H49" s="8">
        <v>-1.7362613615691025E-2</v>
      </c>
      <c r="I49" s="8">
        <v>3.202026280948278E-2</v>
      </c>
      <c r="J49" s="8">
        <v>1.3883462135749092E-2</v>
      </c>
      <c r="K49" s="8">
        <v>-0.75095324335674885</v>
      </c>
      <c r="L49" s="8">
        <v>-0.73357888492210321</v>
      </c>
      <c r="M49" s="8">
        <v>-0.73177234610813202</v>
      </c>
      <c r="N49" s="8">
        <v>-1.5567819620674439E-2</v>
      </c>
      <c r="O49" s="43">
        <v>10.415488290000001</v>
      </c>
      <c r="P49" s="4"/>
      <c r="Q49" s="8">
        <v>9.8000000000000007</v>
      </c>
      <c r="R49" s="8">
        <v>1.6953067616341855E-2</v>
      </c>
      <c r="S49" s="8">
        <v>1.2384389143444086E-2</v>
      </c>
      <c r="T49" s="8">
        <v>1.8136800673733688E-2</v>
      </c>
      <c r="U49" s="8">
        <v>1.8075934340023858E-2</v>
      </c>
      <c r="V49" s="8">
        <v>-1.7362613615691025E-2</v>
      </c>
      <c r="W49" s="8">
        <v>3.202026280948278E-2</v>
      </c>
      <c r="X49" s="8">
        <v>1.3883462135749092E-2</v>
      </c>
      <c r="Y49" s="8">
        <v>-0.75095324335674885</v>
      </c>
      <c r="Z49" s="8">
        <v>-0.73357888492210321</v>
      </c>
      <c r="AA49" s="8">
        <v>-0.73177234610813202</v>
      </c>
      <c r="AB49" s="8">
        <v>-1.5567819620674439E-2</v>
      </c>
      <c r="AC49" s="47">
        <v>10.44167124</v>
      </c>
      <c r="AE49" s="12">
        <f t="shared" si="13"/>
        <v>0</v>
      </c>
      <c r="AF49" s="12">
        <f t="shared" si="14"/>
        <v>0</v>
      </c>
      <c r="AG49" s="12">
        <f t="shared" si="15"/>
        <v>0</v>
      </c>
      <c r="AH49" s="12">
        <f t="shared" si="16"/>
        <v>0</v>
      </c>
      <c r="AI49" s="12">
        <f t="shared" si="17"/>
        <v>0</v>
      </c>
      <c r="AJ49" s="12">
        <f t="shared" si="18"/>
        <v>0</v>
      </c>
      <c r="AK49" s="12">
        <f t="shared" si="19"/>
        <v>0</v>
      </c>
      <c r="AL49" s="12">
        <f t="shared" si="20"/>
        <v>0</v>
      </c>
      <c r="AM49" s="12">
        <f t="shared" si="21"/>
        <v>0</v>
      </c>
      <c r="AN49" s="12">
        <f t="shared" si="22"/>
        <v>0</v>
      </c>
      <c r="AO49" s="12">
        <f t="shared" si="23"/>
        <v>0</v>
      </c>
      <c r="AP49" s="12">
        <f t="shared" si="24"/>
        <v>0</v>
      </c>
      <c r="AQ49" s="12">
        <f t="shared" si="25"/>
        <v>-2.618294999999904E-4</v>
      </c>
      <c r="AR49" s="4"/>
      <c r="AS49" s="3"/>
    </row>
    <row r="50" spans="1:45" ht="15" x14ac:dyDescent="0.25">
      <c r="A50" s="1">
        <v>2001</v>
      </c>
      <c r="B50" s="8">
        <v>9.1</v>
      </c>
      <c r="C50" s="8">
        <v>7.4584390519025767E-3</v>
      </c>
      <c r="D50" s="8">
        <v>-2.3480946738189346E-2</v>
      </c>
      <c r="E50" s="8">
        <v>-2.2737304382763446E-2</v>
      </c>
      <c r="F50" s="8">
        <v>-2.2737304382763446E-2</v>
      </c>
      <c r="G50" s="8">
        <v>1.2384389143444086E-2</v>
      </c>
      <c r="H50" s="8">
        <v>1.8136800673733688E-2</v>
      </c>
      <c r="I50" s="8">
        <v>9.2829584267193344E-3</v>
      </c>
      <c r="J50" s="8">
        <v>3.202026280948278E-2</v>
      </c>
      <c r="K50" s="8">
        <v>-0.7399585158956492</v>
      </c>
      <c r="L50" s="8">
        <v>-0.75095324335674885</v>
      </c>
      <c r="M50" s="8">
        <v>-0.73357888492210321</v>
      </c>
      <c r="N50" s="8">
        <v>2.8369085895745272E-2</v>
      </c>
      <c r="O50" s="43">
        <v>9.6344257800000008</v>
      </c>
      <c r="P50" s="4"/>
      <c r="Q50" s="8">
        <v>9.1</v>
      </c>
      <c r="R50" s="8">
        <v>7.4584390519025767E-3</v>
      </c>
      <c r="S50" s="8">
        <v>-2.3480946738189346E-2</v>
      </c>
      <c r="T50" s="8">
        <v>-2.2737304382763446E-2</v>
      </c>
      <c r="U50" s="8">
        <v>1.2384389143444086E-2</v>
      </c>
      <c r="V50" s="8">
        <v>1.8136800673733688E-2</v>
      </c>
      <c r="W50" s="8">
        <v>9.2829584267193344E-3</v>
      </c>
      <c r="X50" s="8">
        <v>3.202026280948278E-2</v>
      </c>
      <c r="Y50" s="8">
        <v>-0.7399585158956492</v>
      </c>
      <c r="Z50" s="8">
        <v>-0.75095324335674885</v>
      </c>
      <c r="AA50" s="8">
        <v>-0.73357888492210321</v>
      </c>
      <c r="AB50" s="8">
        <v>2.8369085895745272E-2</v>
      </c>
      <c r="AC50" s="47">
        <v>9.7005583499999997</v>
      </c>
      <c r="AE50" s="12">
        <f t="shared" si="13"/>
        <v>0</v>
      </c>
      <c r="AF50" s="12">
        <f t="shared" si="14"/>
        <v>0</v>
      </c>
      <c r="AG50" s="12">
        <f t="shared" si="15"/>
        <v>0</v>
      </c>
      <c r="AH50" s="12">
        <f t="shared" si="16"/>
        <v>0</v>
      </c>
      <c r="AI50" s="12">
        <f t="shared" si="17"/>
        <v>0</v>
      </c>
      <c r="AJ50" s="12">
        <f t="shared" si="18"/>
        <v>0</v>
      </c>
      <c r="AK50" s="12">
        <f t="shared" si="19"/>
        <v>0</v>
      </c>
      <c r="AL50" s="12">
        <f t="shared" si="20"/>
        <v>0</v>
      </c>
      <c r="AM50" s="12">
        <f t="shared" si="21"/>
        <v>0</v>
      </c>
      <c r="AN50" s="12">
        <f t="shared" si="22"/>
        <v>0</v>
      </c>
      <c r="AO50" s="12">
        <f t="shared" si="23"/>
        <v>0</v>
      </c>
      <c r="AP50" s="12">
        <f t="shared" si="24"/>
        <v>0</v>
      </c>
      <c r="AQ50" s="12">
        <f t="shared" si="25"/>
        <v>-6.6132569999998835E-4</v>
      </c>
      <c r="AR50" s="4"/>
      <c r="AS50" s="3"/>
    </row>
    <row r="51" spans="1:45" ht="15" x14ac:dyDescent="0.25">
      <c r="A51" s="1">
        <v>2002</v>
      </c>
      <c r="B51" s="8">
        <v>9.1</v>
      </c>
      <c r="C51" s="8">
        <v>-2.8527814565918019E-2</v>
      </c>
      <c r="D51" s="8">
        <v>1.5338400147772546E-2</v>
      </c>
      <c r="E51" s="8">
        <v>-4.9047728194961948E-4</v>
      </c>
      <c r="F51" s="8">
        <v>-4.9047728194961948E-4</v>
      </c>
      <c r="G51" s="8">
        <v>-2.3480946738189346E-2</v>
      </c>
      <c r="H51" s="8">
        <v>-2.2737304382763446E-2</v>
      </c>
      <c r="I51" s="8">
        <v>8.7924811447697149E-3</v>
      </c>
      <c r="J51" s="8">
        <v>9.2829584267193344E-3</v>
      </c>
      <c r="K51" s="8">
        <v>-0.74126299715595267</v>
      </c>
      <c r="L51" s="8">
        <v>-0.7399585158956492</v>
      </c>
      <c r="M51" s="8">
        <v>-0.75095324335674885</v>
      </c>
      <c r="N51" s="8">
        <v>-1.229920872140311E-2</v>
      </c>
      <c r="O51" s="43">
        <v>8.9582351300000003</v>
      </c>
      <c r="P51" s="4"/>
      <c r="Q51" s="8">
        <v>9.1</v>
      </c>
      <c r="R51" s="8">
        <v>-2.8527814565918019E-2</v>
      </c>
      <c r="S51" s="8">
        <v>1.5338400147772546E-2</v>
      </c>
      <c r="T51" s="8">
        <v>-4.9047728194961948E-4</v>
      </c>
      <c r="U51" s="8">
        <v>-2.3480946738189346E-2</v>
      </c>
      <c r="V51" s="8">
        <v>-2.2737304382763446E-2</v>
      </c>
      <c r="W51" s="8">
        <v>8.7924811447697149E-3</v>
      </c>
      <c r="X51" s="8">
        <v>9.2829584267193344E-3</v>
      </c>
      <c r="Y51" s="8">
        <v>-0.74126299715595267</v>
      </c>
      <c r="Z51" s="8">
        <v>-0.7399585158956492</v>
      </c>
      <c r="AA51" s="8">
        <v>-0.75095324335674885</v>
      </c>
      <c r="AB51" s="8">
        <v>-1.229920872140311E-2</v>
      </c>
      <c r="AC51" s="47">
        <v>9.0448849100000004</v>
      </c>
      <c r="AE51" s="12">
        <f t="shared" si="13"/>
        <v>0</v>
      </c>
      <c r="AF51" s="12">
        <f t="shared" si="14"/>
        <v>0</v>
      </c>
      <c r="AG51" s="12">
        <f t="shared" si="15"/>
        <v>0</v>
      </c>
      <c r="AH51" s="12">
        <f t="shared" si="16"/>
        <v>0</v>
      </c>
      <c r="AI51" s="12">
        <f t="shared" si="17"/>
        <v>0</v>
      </c>
      <c r="AJ51" s="12">
        <f t="shared" si="18"/>
        <v>0</v>
      </c>
      <c r="AK51" s="12">
        <f t="shared" si="19"/>
        <v>0</v>
      </c>
      <c r="AL51" s="12">
        <f t="shared" si="20"/>
        <v>0</v>
      </c>
      <c r="AM51" s="12">
        <f t="shared" si="21"/>
        <v>0</v>
      </c>
      <c r="AN51" s="12">
        <f t="shared" si="22"/>
        <v>0</v>
      </c>
      <c r="AO51" s="12">
        <f t="shared" si="23"/>
        <v>0</v>
      </c>
      <c r="AP51" s="12">
        <f t="shared" si="24"/>
        <v>0</v>
      </c>
      <c r="AQ51" s="12">
        <f t="shared" si="25"/>
        <v>-8.6649780000000118E-4</v>
      </c>
      <c r="AR51" s="4"/>
      <c r="AS51" s="3"/>
    </row>
    <row r="52" spans="1:45" ht="15" x14ac:dyDescent="0.25">
      <c r="A52" s="1">
        <v>2003</v>
      </c>
      <c r="B52" s="8">
        <v>9</v>
      </c>
      <c r="C52" s="8">
        <v>9.9731355583425607E-3</v>
      </c>
      <c r="D52" s="8">
        <v>-7.65052167015845E-3</v>
      </c>
      <c r="E52" s="8">
        <v>1.0723467408342735E-2</v>
      </c>
      <c r="F52" s="8">
        <v>1.0723467408342735E-2</v>
      </c>
      <c r="G52" s="8">
        <v>1.5338400147772546E-2</v>
      </c>
      <c r="H52" s="8">
        <v>-4.9047728194961948E-4</v>
      </c>
      <c r="I52" s="8">
        <v>1.951594855311245E-2</v>
      </c>
      <c r="J52" s="8">
        <v>8.7924811447697149E-3</v>
      </c>
      <c r="K52" s="8">
        <v>-0.72571302121262948</v>
      </c>
      <c r="L52" s="8">
        <v>-0.74126299715595267</v>
      </c>
      <c r="M52" s="8">
        <v>-0.7399585158956492</v>
      </c>
      <c r="N52" s="8">
        <v>1.685445720362666E-2</v>
      </c>
      <c r="O52" s="43">
        <v>8.3418267000000004</v>
      </c>
      <c r="P52" s="4"/>
      <c r="Q52" s="8">
        <v>9</v>
      </c>
      <c r="R52" s="8">
        <v>9.9731355583425607E-3</v>
      </c>
      <c r="S52" s="8">
        <v>-7.65052167015845E-3</v>
      </c>
      <c r="T52" s="8">
        <v>1.0723467408342735E-2</v>
      </c>
      <c r="U52" s="8">
        <v>1.5338400147772546E-2</v>
      </c>
      <c r="V52" s="8">
        <v>-4.9047728194961948E-4</v>
      </c>
      <c r="W52" s="8">
        <v>1.951594855311245E-2</v>
      </c>
      <c r="X52" s="8">
        <v>8.7924811447697149E-3</v>
      </c>
      <c r="Y52" s="8">
        <v>-0.72571302121262948</v>
      </c>
      <c r="Z52" s="8">
        <v>-0.74126299715595267</v>
      </c>
      <c r="AA52" s="8">
        <v>-0.7399585158956492</v>
      </c>
      <c r="AB52" s="8">
        <v>1.685445720362666E-2</v>
      </c>
      <c r="AC52" s="47">
        <v>8.4373310299999993</v>
      </c>
      <c r="AE52" s="12">
        <f t="shared" si="13"/>
        <v>0</v>
      </c>
      <c r="AF52" s="12">
        <f t="shared" si="14"/>
        <v>0</v>
      </c>
      <c r="AG52" s="12">
        <f t="shared" si="15"/>
        <v>0</v>
      </c>
      <c r="AH52" s="12">
        <f t="shared" si="16"/>
        <v>0</v>
      </c>
      <c r="AI52" s="12">
        <f t="shared" si="17"/>
        <v>0</v>
      </c>
      <c r="AJ52" s="12">
        <f t="shared" si="18"/>
        <v>0</v>
      </c>
      <c r="AK52" s="12">
        <f t="shared" si="19"/>
        <v>0</v>
      </c>
      <c r="AL52" s="12">
        <f t="shared" si="20"/>
        <v>0</v>
      </c>
      <c r="AM52" s="12">
        <f t="shared" si="21"/>
        <v>0</v>
      </c>
      <c r="AN52" s="12">
        <f t="shared" si="22"/>
        <v>0</v>
      </c>
      <c r="AO52" s="12">
        <f t="shared" si="23"/>
        <v>0</v>
      </c>
      <c r="AP52" s="12">
        <f t="shared" si="24"/>
        <v>0</v>
      </c>
      <c r="AQ52" s="12">
        <f t="shared" si="25"/>
        <v>-9.5504329999998919E-4</v>
      </c>
      <c r="AR52" s="4"/>
      <c r="AS52" s="3"/>
    </row>
    <row r="53" spans="1:45" ht="15" x14ac:dyDescent="0.25">
      <c r="A53" s="1">
        <v>2004</v>
      </c>
      <c r="B53" s="8">
        <v>8.8000000000000007</v>
      </c>
      <c r="C53" s="8">
        <v>9.3002144410354592E-3</v>
      </c>
      <c r="D53" s="8">
        <v>-2.415566828047333E-3</v>
      </c>
      <c r="E53" s="8">
        <v>1.7624148252203486E-2</v>
      </c>
      <c r="F53" s="8">
        <v>1.7624148252203486E-2</v>
      </c>
      <c r="G53" s="8">
        <v>-7.65052167015845E-3</v>
      </c>
      <c r="H53" s="8">
        <v>1.0723467408342735E-2</v>
      </c>
      <c r="I53" s="8">
        <v>3.7140096805315936E-2</v>
      </c>
      <c r="J53" s="8">
        <v>1.951594855311245E-2</v>
      </c>
      <c r="K53" s="8">
        <v>-0.7310547400160442</v>
      </c>
      <c r="L53" s="8">
        <v>-0.72571302121262948</v>
      </c>
      <c r="M53" s="8">
        <v>-0.74126299715595267</v>
      </c>
      <c r="N53" s="8">
        <v>-2.089169474673791E-2</v>
      </c>
      <c r="O53" s="43">
        <v>7.83037223</v>
      </c>
      <c r="P53" s="4"/>
      <c r="Q53" s="8">
        <v>8.8000000000000007</v>
      </c>
      <c r="R53" s="8">
        <v>9.3002144410354592E-3</v>
      </c>
      <c r="S53" s="8">
        <v>-2.415566828047333E-3</v>
      </c>
      <c r="T53" s="8">
        <v>1.7624148252203486E-2</v>
      </c>
      <c r="U53" s="8">
        <v>-7.65052167015845E-3</v>
      </c>
      <c r="V53" s="8">
        <v>1.0723467408342735E-2</v>
      </c>
      <c r="W53" s="8">
        <v>3.7140096805315936E-2</v>
      </c>
      <c r="X53" s="8">
        <v>1.951594855311245E-2</v>
      </c>
      <c r="Y53" s="8">
        <v>-0.7310547400160442</v>
      </c>
      <c r="Z53" s="8">
        <v>-0.72571302121262948</v>
      </c>
      <c r="AA53" s="8">
        <v>-0.74126299715595267</v>
      </c>
      <c r="AB53" s="8">
        <v>-2.089169474673791E-2</v>
      </c>
      <c r="AC53" s="47">
        <v>7.9229676099999997</v>
      </c>
      <c r="AE53" s="12">
        <f t="shared" si="13"/>
        <v>0</v>
      </c>
      <c r="AF53" s="12">
        <f t="shared" si="14"/>
        <v>0</v>
      </c>
      <c r="AG53" s="12">
        <f t="shared" si="15"/>
        <v>0</v>
      </c>
      <c r="AH53" s="12">
        <f t="shared" si="16"/>
        <v>0</v>
      </c>
      <c r="AI53" s="12">
        <f t="shared" si="17"/>
        <v>0</v>
      </c>
      <c r="AJ53" s="12">
        <f t="shared" si="18"/>
        <v>0</v>
      </c>
      <c r="AK53" s="12">
        <f t="shared" si="19"/>
        <v>0</v>
      </c>
      <c r="AL53" s="12">
        <f t="shared" si="20"/>
        <v>0</v>
      </c>
      <c r="AM53" s="12">
        <f t="shared" si="21"/>
        <v>0</v>
      </c>
      <c r="AN53" s="12">
        <f t="shared" si="22"/>
        <v>0</v>
      </c>
      <c r="AO53" s="12">
        <f t="shared" si="23"/>
        <v>0</v>
      </c>
      <c r="AP53" s="12">
        <f t="shared" si="24"/>
        <v>0</v>
      </c>
      <c r="AQ53" s="12">
        <f t="shared" si="25"/>
        <v>-9.2595379999999667E-4</v>
      </c>
      <c r="AR53" s="4"/>
      <c r="AS53" s="3"/>
    </row>
    <row r="54" spans="1:45" ht="15" x14ac:dyDescent="0.25">
      <c r="A54" s="1">
        <v>2005</v>
      </c>
      <c r="B54" s="8">
        <v>8.4</v>
      </c>
      <c r="C54" s="8">
        <v>8.045481522100939E-4</v>
      </c>
      <c r="D54" s="8">
        <v>4.4816780697394254E-3</v>
      </c>
      <c r="E54" s="8">
        <v>-2.1892886192206529E-2</v>
      </c>
      <c r="F54" s="8">
        <v>-2.1892886192206529E-2</v>
      </c>
      <c r="G54" s="8">
        <v>-2.415566828047333E-3</v>
      </c>
      <c r="H54" s="8">
        <v>1.7624148252203486E-2</v>
      </c>
      <c r="I54" s="8">
        <v>1.5247210613109408E-2</v>
      </c>
      <c r="J54" s="8">
        <v>3.7140096805315936E-2</v>
      </c>
      <c r="K54" s="8">
        <v>-0.71335261019680829</v>
      </c>
      <c r="L54" s="8">
        <v>-0.7310547400160442</v>
      </c>
      <c r="M54" s="8">
        <v>-0.72571302121262948</v>
      </c>
      <c r="N54" s="8">
        <v>2.3043848622650631E-2</v>
      </c>
      <c r="O54" s="43">
        <v>7.4375525900000001</v>
      </c>
      <c r="P54" s="4"/>
      <c r="Q54" s="8">
        <v>8.4</v>
      </c>
      <c r="R54" s="8">
        <v>8.045481522100939E-4</v>
      </c>
      <c r="S54" s="8">
        <v>4.4816780697394254E-3</v>
      </c>
      <c r="T54" s="8">
        <v>-2.1892886192206529E-2</v>
      </c>
      <c r="U54" s="8">
        <v>-2.415566828047333E-3</v>
      </c>
      <c r="V54" s="8">
        <v>1.7624148252203486E-2</v>
      </c>
      <c r="W54" s="8">
        <v>1.5247210613109408E-2</v>
      </c>
      <c r="X54" s="8">
        <v>3.7140096805315936E-2</v>
      </c>
      <c r="Y54" s="8">
        <v>-0.71335261019680829</v>
      </c>
      <c r="Z54" s="8">
        <v>-0.7310547400160442</v>
      </c>
      <c r="AA54" s="8">
        <v>-0.72571302121262948</v>
      </c>
      <c r="AB54" s="8">
        <v>2.3043848622650631E-2</v>
      </c>
      <c r="AC54" s="47">
        <v>7.5182588499999996</v>
      </c>
      <c r="AE54" s="12">
        <f t="shared" si="13"/>
        <v>0</v>
      </c>
      <c r="AF54" s="12">
        <f t="shared" si="14"/>
        <v>0</v>
      </c>
      <c r="AG54" s="12">
        <f t="shared" si="15"/>
        <v>0</v>
      </c>
      <c r="AH54" s="12">
        <f t="shared" si="16"/>
        <v>0</v>
      </c>
      <c r="AI54" s="12">
        <f t="shared" si="17"/>
        <v>0</v>
      </c>
      <c r="AJ54" s="12">
        <f t="shared" si="18"/>
        <v>0</v>
      </c>
      <c r="AK54" s="12">
        <f t="shared" si="19"/>
        <v>0</v>
      </c>
      <c r="AL54" s="12">
        <f t="shared" si="20"/>
        <v>0</v>
      </c>
      <c r="AM54" s="12">
        <f t="shared" si="21"/>
        <v>0</v>
      </c>
      <c r="AN54" s="12">
        <f t="shared" si="22"/>
        <v>0</v>
      </c>
      <c r="AO54" s="12">
        <f t="shared" si="23"/>
        <v>0</v>
      </c>
      <c r="AP54" s="12">
        <f t="shared" si="24"/>
        <v>0</v>
      </c>
      <c r="AQ54" s="12">
        <f t="shared" si="25"/>
        <v>-8.0706259999999478E-4</v>
      </c>
      <c r="AR54" s="4"/>
      <c r="AS54" s="3"/>
    </row>
    <row r="55" spans="1:45" ht="15" x14ac:dyDescent="0.25">
      <c r="A55" s="1">
        <v>2006</v>
      </c>
      <c r="B55" s="8">
        <v>7.7</v>
      </c>
      <c r="C55" s="8">
        <v>-8.7003967956318373E-3</v>
      </c>
      <c r="D55" s="8">
        <v>2.1932704856948426E-3</v>
      </c>
      <c r="E55" s="8">
        <v>9.9779458531303877E-3</v>
      </c>
      <c r="F55" s="8">
        <v>9.9779458531303877E-3</v>
      </c>
      <c r="G55" s="8">
        <v>4.4816780697394254E-3</v>
      </c>
      <c r="H55" s="8">
        <v>-2.1892886192206529E-2</v>
      </c>
      <c r="I55" s="8">
        <v>2.5225156466239795E-2</v>
      </c>
      <c r="J55" s="8">
        <v>1.5247210613109408E-2</v>
      </c>
      <c r="K55" s="8">
        <v>-0.72057631838579661</v>
      </c>
      <c r="L55" s="8">
        <v>-0.71335261019680829</v>
      </c>
      <c r="M55" s="8">
        <v>-0.7310547400160442</v>
      </c>
      <c r="N55" s="8">
        <v>-2.4925838008224233E-2</v>
      </c>
      <c r="O55" s="43">
        <v>7.1375393499999999</v>
      </c>
      <c r="P55" s="4"/>
      <c r="Q55" s="8">
        <v>7.7</v>
      </c>
      <c r="R55" s="8">
        <v>-8.7003967956318373E-3</v>
      </c>
      <c r="S55" s="8">
        <v>2.1932704856948426E-3</v>
      </c>
      <c r="T55" s="8">
        <v>9.9779458531303877E-3</v>
      </c>
      <c r="U55" s="8">
        <v>4.4816780697394254E-3</v>
      </c>
      <c r="V55" s="8">
        <v>-2.1892886192206529E-2</v>
      </c>
      <c r="W55" s="8">
        <v>2.5225156466239795E-2</v>
      </c>
      <c r="X55" s="8">
        <v>1.5247210613109408E-2</v>
      </c>
      <c r="Y55" s="8">
        <v>-0.72057631838579661</v>
      </c>
      <c r="Z55" s="8">
        <v>-0.71335261019680829</v>
      </c>
      <c r="AA55" s="8">
        <v>-0.7310547400160442</v>
      </c>
      <c r="AB55" s="8">
        <v>-2.4925838008224233E-2</v>
      </c>
      <c r="AC55" s="47">
        <v>7.2033026800000002</v>
      </c>
      <c r="AE55" s="12">
        <f t="shared" si="13"/>
        <v>0</v>
      </c>
      <c r="AF55" s="12">
        <f t="shared" si="14"/>
        <v>0</v>
      </c>
      <c r="AG55" s="12">
        <f t="shared" si="15"/>
        <v>0</v>
      </c>
      <c r="AH55" s="12">
        <f t="shared" si="16"/>
        <v>0</v>
      </c>
      <c r="AI55" s="12">
        <f t="shared" si="17"/>
        <v>0</v>
      </c>
      <c r="AJ55" s="12">
        <f t="shared" si="18"/>
        <v>0</v>
      </c>
      <c r="AK55" s="12">
        <f t="shared" si="19"/>
        <v>0</v>
      </c>
      <c r="AL55" s="12">
        <f t="shared" si="20"/>
        <v>0</v>
      </c>
      <c r="AM55" s="12">
        <f t="shared" si="21"/>
        <v>0</v>
      </c>
      <c r="AN55" s="12">
        <f t="shared" si="22"/>
        <v>0</v>
      </c>
      <c r="AO55" s="12">
        <f t="shared" si="23"/>
        <v>0</v>
      </c>
      <c r="AP55" s="12">
        <f t="shared" si="24"/>
        <v>0</v>
      </c>
      <c r="AQ55" s="12">
        <f t="shared" si="25"/>
        <v>-6.5763330000000229E-4</v>
      </c>
      <c r="AR55" s="4"/>
      <c r="AS55" s="3"/>
    </row>
    <row r="56" spans="1:45" ht="15" x14ac:dyDescent="0.25">
      <c r="A56" s="1">
        <v>2007</v>
      </c>
      <c r="B56" s="8">
        <v>6.9</v>
      </c>
      <c r="C56" s="8">
        <v>7.8958727142328655E-3</v>
      </c>
      <c r="D56" s="8">
        <v>-1.3518780322235191E-2</v>
      </c>
      <c r="E56" s="8">
        <v>5.7135680737023797E-3</v>
      </c>
      <c r="F56" s="8">
        <v>5.7135680737023797E-3</v>
      </c>
      <c r="G56" s="8">
        <v>2.1932704856948426E-3</v>
      </c>
      <c r="H56" s="8">
        <v>9.9779458531303877E-3</v>
      </c>
      <c r="I56" s="8">
        <v>3.0938724539942175E-2</v>
      </c>
      <c r="J56" s="8">
        <v>2.5225156466239795E-2</v>
      </c>
      <c r="K56" s="8">
        <v>-0.74405714538911749</v>
      </c>
      <c r="L56" s="8">
        <v>-0.72057631838579661</v>
      </c>
      <c r="M56" s="8">
        <v>-0.71335261019680829</v>
      </c>
      <c r="N56" s="8">
        <v>-1.6257118814332561E-2</v>
      </c>
      <c r="O56" s="43">
        <v>6.9155543899999996</v>
      </c>
      <c r="P56" s="4"/>
      <c r="Q56" s="8">
        <v>6.9</v>
      </c>
      <c r="R56" s="8">
        <v>7.8958727142328655E-3</v>
      </c>
      <c r="S56" s="8">
        <v>-1.3518780322235191E-2</v>
      </c>
      <c r="T56" s="8">
        <v>5.7135680737023797E-3</v>
      </c>
      <c r="U56" s="8">
        <v>2.1932704856948426E-3</v>
      </c>
      <c r="V56" s="8">
        <v>9.9779458531303877E-3</v>
      </c>
      <c r="W56" s="8">
        <v>3.0938724539942175E-2</v>
      </c>
      <c r="X56" s="8">
        <v>2.5225156466239795E-2</v>
      </c>
      <c r="Y56" s="8">
        <v>-0.74405714538911749</v>
      </c>
      <c r="Z56" s="8">
        <v>-0.72057631838579661</v>
      </c>
      <c r="AA56" s="8">
        <v>-0.71335261019680829</v>
      </c>
      <c r="AB56" s="8">
        <v>-1.6257118814332561E-2</v>
      </c>
      <c r="AC56" s="47">
        <v>6.9675205599999996</v>
      </c>
      <c r="AE56" s="12">
        <f t="shared" si="13"/>
        <v>0</v>
      </c>
      <c r="AF56" s="12">
        <f t="shared" si="14"/>
        <v>0</v>
      </c>
      <c r="AG56" s="12">
        <f t="shared" si="15"/>
        <v>0</v>
      </c>
      <c r="AH56" s="12">
        <f t="shared" si="16"/>
        <v>0</v>
      </c>
      <c r="AI56" s="12">
        <f t="shared" si="17"/>
        <v>0</v>
      </c>
      <c r="AJ56" s="12">
        <f t="shared" si="18"/>
        <v>0</v>
      </c>
      <c r="AK56" s="12">
        <f t="shared" si="19"/>
        <v>0</v>
      </c>
      <c r="AL56" s="12">
        <f t="shared" si="20"/>
        <v>0</v>
      </c>
      <c r="AM56" s="12">
        <f t="shared" si="21"/>
        <v>0</v>
      </c>
      <c r="AN56" s="12">
        <f t="shared" si="22"/>
        <v>0</v>
      </c>
      <c r="AO56" s="12">
        <f t="shared" si="23"/>
        <v>0</v>
      </c>
      <c r="AP56" s="12">
        <f t="shared" si="24"/>
        <v>0</v>
      </c>
      <c r="AQ56" s="12">
        <f t="shared" si="25"/>
        <v>-5.1966170000000038E-4</v>
      </c>
      <c r="AR56" s="4"/>
      <c r="AS56" s="3"/>
    </row>
    <row r="57" spans="1:45" ht="15" x14ac:dyDescent="0.25">
      <c r="A57" s="1">
        <v>2008</v>
      </c>
      <c r="B57" s="8">
        <v>6.4</v>
      </c>
      <c r="C57" s="8">
        <v>7.0346789276203303E-3</v>
      </c>
      <c r="D57" s="8">
        <v>1.2888915731077644E-2</v>
      </c>
      <c r="E57" s="8">
        <v>-5.3212117723753005E-2</v>
      </c>
      <c r="F57" s="8">
        <v>-5.3212117723753005E-2</v>
      </c>
      <c r="G57" s="8">
        <v>-1.3518780322235191E-2</v>
      </c>
      <c r="H57" s="8">
        <v>5.7135680737023797E-3</v>
      </c>
      <c r="I57" s="8">
        <v>-2.227339318381083E-2</v>
      </c>
      <c r="J57" s="8">
        <v>3.0938724539942175E-2</v>
      </c>
      <c r="K57" s="8">
        <v>-0.70755543233184848</v>
      </c>
      <c r="L57" s="8">
        <v>-0.74405714538911749</v>
      </c>
      <c r="M57" s="8">
        <v>-0.72057631838579661</v>
      </c>
      <c r="N57" s="8">
        <v>5.9982540060589895E-2</v>
      </c>
      <c r="O57" s="43">
        <v>6.7616060300000003</v>
      </c>
      <c r="P57" s="4"/>
      <c r="Q57" s="8">
        <v>6.4</v>
      </c>
      <c r="R57" s="8">
        <v>7.0346789276203303E-3</v>
      </c>
      <c r="S57" s="8">
        <v>1.2888915731077644E-2</v>
      </c>
      <c r="T57" s="8">
        <v>-5.3212117723753005E-2</v>
      </c>
      <c r="U57" s="8">
        <v>-1.3518780322235191E-2</v>
      </c>
      <c r="V57" s="8">
        <v>5.7135680737023797E-3</v>
      </c>
      <c r="W57" s="8">
        <v>-2.227339318381083E-2</v>
      </c>
      <c r="X57" s="8">
        <v>3.0938724539942175E-2</v>
      </c>
      <c r="Y57" s="8">
        <v>-0.70755543233184848</v>
      </c>
      <c r="Z57" s="8">
        <v>-0.74405714538911749</v>
      </c>
      <c r="AA57" s="8">
        <v>-0.72057631838579661</v>
      </c>
      <c r="AB57" s="8">
        <v>5.9982540060589895E-2</v>
      </c>
      <c r="AC57" s="47">
        <v>6.8039696699999999</v>
      </c>
      <c r="AE57" s="12">
        <f t="shared" si="13"/>
        <v>0</v>
      </c>
      <c r="AF57" s="12">
        <f t="shared" si="14"/>
        <v>0</v>
      </c>
      <c r="AG57" s="12">
        <f t="shared" si="15"/>
        <v>0</v>
      </c>
      <c r="AH57" s="12">
        <f t="shared" si="16"/>
        <v>0</v>
      </c>
      <c r="AI57" s="12">
        <f t="shared" si="17"/>
        <v>0</v>
      </c>
      <c r="AJ57" s="12">
        <f t="shared" si="18"/>
        <v>0</v>
      </c>
      <c r="AK57" s="12">
        <f t="shared" si="19"/>
        <v>0</v>
      </c>
      <c r="AL57" s="12">
        <f t="shared" si="20"/>
        <v>0</v>
      </c>
      <c r="AM57" s="12">
        <f t="shared" si="21"/>
        <v>0</v>
      </c>
      <c r="AN57" s="12">
        <f t="shared" si="22"/>
        <v>0</v>
      </c>
      <c r="AO57" s="12">
        <f t="shared" si="23"/>
        <v>0</v>
      </c>
      <c r="AP57" s="12">
        <f t="shared" si="24"/>
        <v>0</v>
      </c>
      <c r="AQ57" s="12">
        <f t="shared" si="25"/>
        <v>-4.2363639999999593E-4</v>
      </c>
      <c r="AR57" s="4"/>
      <c r="AS57" s="3"/>
    </row>
    <row r="58" spans="1:45" ht="15" x14ac:dyDescent="0.25">
      <c r="A58" s="1">
        <v>2009</v>
      </c>
      <c r="B58" s="8">
        <v>8.1999999999999993</v>
      </c>
      <c r="C58" s="8">
        <v>-2.0464971289535949E-2</v>
      </c>
      <c r="D58" s="8">
        <v>-5.8098290725820956E-3</v>
      </c>
      <c r="E58" s="8">
        <v>-3.8699939100717895E-2</v>
      </c>
      <c r="F58" s="8">
        <v>-3.8699939100717895E-2</v>
      </c>
      <c r="G58" s="8">
        <v>1.2888915731077644E-2</v>
      </c>
      <c r="H58" s="8">
        <v>-5.3212117723753005E-2</v>
      </c>
      <c r="I58" s="8">
        <v>-6.0973332284528725E-2</v>
      </c>
      <c r="J58" s="8">
        <v>-2.227339318381083E-2</v>
      </c>
      <c r="K58" s="8">
        <v>-0.6434062923793582</v>
      </c>
      <c r="L58" s="8">
        <v>-0.70755543233184848</v>
      </c>
      <c r="M58" s="8">
        <v>-0.74405714538911749</v>
      </c>
      <c r="N58" s="8">
        <v>2.7647426895221261E-2</v>
      </c>
      <c r="O58" s="43">
        <v>6.9714309099999996</v>
      </c>
      <c r="P58" s="4"/>
      <c r="Q58" s="8">
        <v>8.1999999999999993</v>
      </c>
      <c r="R58" s="8">
        <v>-2.0464971289535949E-2</v>
      </c>
      <c r="S58" s="8">
        <v>-5.8098290725820956E-3</v>
      </c>
      <c r="T58" s="8">
        <v>-3.8699939100717895E-2</v>
      </c>
      <c r="U58" s="8">
        <v>1.2888915731077644E-2</v>
      </c>
      <c r="V58" s="8">
        <v>-5.3212117723753005E-2</v>
      </c>
      <c r="W58" s="8">
        <v>-6.0973332284528725E-2</v>
      </c>
      <c r="X58" s="8">
        <v>-2.227339318381083E-2</v>
      </c>
      <c r="Y58" s="8">
        <v>-0.6434062923793582</v>
      </c>
      <c r="Z58" s="8">
        <v>-0.70755543233184848</v>
      </c>
      <c r="AA58" s="8">
        <v>-0.74405714538911749</v>
      </c>
      <c r="AB58" s="8">
        <v>2.7647426895221261E-2</v>
      </c>
      <c r="AC58" s="47">
        <v>6.98099472</v>
      </c>
      <c r="AE58" s="12">
        <f t="shared" si="13"/>
        <v>0</v>
      </c>
      <c r="AF58" s="12">
        <f t="shared" si="14"/>
        <v>0</v>
      </c>
      <c r="AG58" s="12">
        <f t="shared" si="15"/>
        <v>0</v>
      </c>
      <c r="AH58" s="12">
        <f t="shared" si="16"/>
        <v>0</v>
      </c>
      <c r="AI58" s="12">
        <f t="shared" si="17"/>
        <v>0</v>
      </c>
      <c r="AJ58" s="12">
        <f t="shared" si="18"/>
        <v>0</v>
      </c>
      <c r="AK58" s="12">
        <f t="shared" si="19"/>
        <v>0</v>
      </c>
      <c r="AL58" s="12">
        <f t="shared" si="20"/>
        <v>0</v>
      </c>
      <c r="AM58" s="12">
        <f t="shared" si="21"/>
        <v>0</v>
      </c>
      <c r="AN58" s="12">
        <f t="shared" si="22"/>
        <v>0</v>
      </c>
      <c r="AO58" s="12">
        <f t="shared" si="23"/>
        <v>0</v>
      </c>
      <c r="AP58" s="12">
        <f t="shared" si="24"/>
        <v>0</v>
      </c>
      <c r="AQ58" s="12">
        <f t="shared" si="25"/>
        <v>-9.5638100000003945E-5</v>
      </c>
      <c r="AR58" s="4"/>
      <c r="AS58" s="3"/>
    </row>
    <row r="59" spans="1:45" ht="15" x14ac:dyDescent="0.25">
      <c r="A59" s="1">
        <v>2010</v>
      </c>
      <c r="B59" s="8">
        <v>8.4</v>
      </c>
      <c r="C59" s="8">
        <v>-5.4411526501201291E-3</v>
      </c>
      <c r="D59" s="8">
        <v>1.6195788216330831E-2</v>
      </c>
      <c r="E59" s="8">
        <v>9.539488721293643E-2</v>
      </c>
      <c r="F59" s="8">
        <v>9.539488721293643E-2</v>
      </c>
      <c r="G59" s="8">
        <v>-5.8098290725820956E-3</v>
      </c>
      <c r="H59" s="8">
        <v>-3.8699939100717895E-2</v>
      </c>
      <c r="I59" s="8">
        <v>3.4421554928407705E-2</v>
      </c>
      <c r="J59" s="8">
        <v>-6.0973332284528725E-2</v>
      </c>
      <c r="K59" s="8">
        <v>-0.66305463906700024</v>
      </c>
      <c r="L59" s="8">
        <v>-0.6434062923793582</v>
      </c>
      <c r="M59" s="8">
        <v>-0.70755543233184848</v>
      </c>
      <c r="N59" s="8">
        <v>-8.3797486640132313E-2</v>
      </c>
      <c r="O59" s="43">
        <v>6.9900365999999998</v>
      </c>
      <c r="P59" s="4"/>
      <c r="Q59" s="8">
        <v>8.4</v>
      </c>
      <c r="R59" s="8">
        <v>-5.4411526501201291E-3</v>
      </c>
      <c r="S59" s="8">
        <v>1.6195788216330831E-2</v>
      </c>
      <c r="T59" s="8">
        <v>9.539488721293643E-2</v>
      </c>
      <c r="U59" s="8">
        <v>-5.8098290725820956E-3</v>
      </c>
      <c r="V59" s="8">
        <v>-3.8699939100717895E-2</v>
      </c>
      <c r="W59" s="8">
        <v>3.4421554928407705E-2</v>
      </c>
      <c r="X59" s="8">
        <v>-6.0973332284528725E-2</v>
      </c>
      <c r="Y59" s="8">
        <v>-0.66305463906700024</v>
      </c>
      <c r="Z59" s="8">
        <v>-0.6434062923793582</v>
      </c>
      <c r="AA59" s="8">
        <v>-0.70755543233184848</v>
      </c>
      <c r="AB59" s="8">
        <v>-8.3797486640132313E-2</v>
      </c>
      <c r="AC59" s="47">
        <v>6.99311536</v>
      </c>
      <c r="AE59" s="12">
        <f t="shared" si="13"/>
        <v>0</v>
      </c>
      <c r="AF59" s="12">
        <f t="shared" si="14"/>
        <v>0</v>
      </c>
      <c r="AG59" s="12">
        <f t="shared" si="15"/>
        <v>0</v>
      </c>
      <c r="AH59" s="12">
        <f t="shared" si="16"/>
        <v>0</v>
      </c>
      <c r="AI59" s="12">
        <f t="shared" si="17"/>
        <v>0</v>
      </c>
      <c r="AJ59" s="12">
        <f t="shared" si="18"/>
        <v>0</v>
      </c>
      <c r="AK59" s="12">
        <f t="shared" si="19"/>
        <v>0</v>
      </c>
      <c r="AL59" s="12">
        <f t="shared" si="20"/>
        <v>0</v>
      </c>
      <c r="AM59" s="12">
        <f t="shared" si="21"/>
        <v>0</v>
      </c>
      <c r="AN59" s="12">
        <f t="shared" si="22"/>
        <v>0</v>
      </c>
      <c r="AO59" s="12">
        <f t="shared" si="23"/>
        <v>0</v>
      </c>
      <c r="AP59" s="12">
        <f t="shared" si="24"/>
        <v>0</v>
      </c>
      <c r="AQ59" s="12">
        <f t="shared" si="25"/>
        <v>-3.0787600000001806E-5</v>
      </c>
      <c r="AR59" s="4"/>
      <c r="AS59" s="3"/>
    </row>
    <row r="60" spans="1:45" ht="15" x14ac:dyDescent="0.25">
      <c r="A60" s="1">
        <v>2011</v>
      </c>
      <c r="B60" s="8">
        <v>7.8</v>
      </c>
      <c r="C60" s="8">
        <v>1.4498987790625861E-2</v>
      </c>
      <c r="D60" s="8">
        <v>-7.6238595713276069E-3</v>
      </c>
      <c r="E60" s="8">
        <v>-2.1517602757885168E-2</v>
      </c>
      <c r="F60" s="8">
        <v>-2.1517602757885168E-2</v>
      </c>
      <c r="G60" s="8">
        <v>1.6195788216330831E-2</v>
      </c>
      <c r="H60" s="8">
        <v>9.539488721293643E-2</v>
      </c>
      <c r="I60" s="8">
        <v>1.2903952170522537E-2</v>
      </c>
      <c r="J60" s="8">
        <v>3.4421554928407705E-2</v>
      </c>
      <c r="K60" s="8">
        <v>-0.67006133639902843</v>
      </c>
      <c r="L60" s="8">
        <v>-0.66305463906700024</v>
      </c>
      <c r="M60" s="8">
        <v>-0.6434062923793582</v>
      </c>
      <c r="N60" s="8">
        <v>1.2641649355613849E-2</v>
      </c>
      <c r="O60" s="43">
        <v>6.9479208699999999</v>
      </c>
      <c r="P60" s="4"/>
      <c r="Q60" s="8">
        <v>7.8</v>
      </c>
      <c r="R60" s="8">
        <v>1.4498987790625861E-2</v>
      </c>
      <c r="S60" s="8">
        <v>-7.6238595713276069E-3</v>
      </c>
      <c r="T60" s="8">
        <v>-2.1517602757885168E-2</v>
      </c>
      <c r="U60" s="8">
        <v>1.6195788216330831E-2</v>
      </c>
      <c r="V60" s="8">
        <v>9.539488721293643E-2</v>
      </c>
      <c r="W60" s="8">
        <v>1.2903952170522537E-2</v>
      </c>
      <c r="X60" s="8">
        <v>3.4421554928407705E-2</v>
      </c>
      <c r="Y60" s="8">
        <v>-0.67006133639902843</v>
      </c>
      <c r="Z60" s="8">
        <v>-0.66305463906700024</v>
      </c>
      <c r="AA60" s="8">
        <v>-0.6434062923793582</v>
      </c>
      <c r="AB60" s="8">
        <v>1.2641649355613849E-2</v>
      </c>
      <c r="AC60" s="47">
        <v>6.9572795799999998</v>
      </c>
      <c r="AE60" s="12">
        <f t="shared" si="13"/>
        <v>0</v>
      </c>
      <c r="AF60" s="12">
        <f t="shared" si="14"/>
        <v>0</v>
      </c>
      <c r="AG60" s="12">
        <f t="shared" si="15"/>
        <v>0</v>
      </c>
      <c r="AH60" s="12">
        <f t="shared" si="16"/>
        <v>0</v>
      </c>
      <c r="AI60" s="12">
        <f t="shared" si="17"/>
        <v>0</v>
      </c>
      <c r="AJ60" s="12">
        <f t="shared" si="18"/>
        <v>0</v>
      </c>
      <c r="AK60" s="12">
        <f t="shared" si="19"/>
        <v>0</v>
      </c>
      <c r="AL60" s="12">
        <f t="shared" si="20"/>
        <v>0</v>
      </c>
      <c r="AM60" s="12">
        <f t="shared" si="21"/>
        <v>0</v>
      </c>
      <c r="AN60" s="12">
        <f t="shared" si="22"/>
        <v>0</v>
      </c>
      <c r="AO60" s="12">
        <f t="shared" si="23"/>
        <v>0</v>
      </c>
      <c r="AP60" s="12">
        <f t="shared" si="24"/>
        <v>0</v>
      </c>
      <c r="AQ60" s="12">
        <f t="shared" si="25"/>
        <v>-9.3587099999998811E-5</v>
      </c>
      <c r="AR60" s="4"/>
      <c r="AS60" s="3"/>
    </row>
    <row r="61" spans="1:45" ht="15" x14ac:dyDescent="0.25">
      <c r="A61" s="1">
        <v>2012</v>
      </c>
      <c r="B61" s="8">
        <v>7.7</v>
      </c>
      <c r="C61" s="8">
        <v>2.5267620168349936E-3</v>
      </c>
      <c r="D61" s="8">
        <v>-7.9817341138921361E-3</v>
      </c>
      <c r="E61" s="8">
        <v>-2.3691282578396367E-2</v>
      </c>
      <c r="F61" s="8">
        <v>-2.3691282578396367E-2</v>
      </c>
      <c r="G61" s="8">
        <v>-7.6238595713276069E-3</v>
      </c>
      <c r="H61" s="8">
        <v>-2.1517602757885168E-2</v>
      </c>
      <c r="I61" s="8">
        <v>-1.078733040787383E-2</v>
      </c>
      <c r="J61" s="8">
        <v>1.2903952170522537E-2</v>
      </c>
      <c r="K61" s="8">
        <v>-0.65620856792866089</v>
      </c>
      <c r="L61" s="8">
        <v>-0.67006133639902843</v>
      </c>
      <c r="M61" s="8">
        <v>-0.66305463906700024</v>
      </c>
      <c r="N61" s="8">
        <v>2.0859465802395727E-2</v>
      </c>
      <c r="O61" s="43">
        <v>7.0010992500000002</v>
      </c>
      <c r="P61" s="4"/>
      <c r="Q61" s="8">
        <v>7.6914498141263943</v>
      </c>
      <c r="R61" s="8">
        <v>1.8650083812121743E-3</v>
      </c>
      <c r="S61" s="8">
        <v>5.5198782722386541E-3</v>
      </c>
      <c r="T61" s="68">
        <v>-1.0787300359723861E-2</v>
      </c>
      <c r="U61" s="8">
        <v>-7.6238595713276069E-3</v>
      </c>
      <c r="V61" s="8">
        <v>-2.1517602757885168E-2</v>
      </c>
      <c r="W61" s="8">
        <v>-1.0787300359723861E-2</v>
      </c>
      <c r="X61" s="8">
        <v>1.2903952170522537E-2</v>
      </c>
      <c r="Y61" s="8">
        <v>-0.67721328139199877</v>
      </c>
      <c r="Z61" s="8">
        <v>-0.67006133639902843</v>
      </c>
      <c r="AA61" s="8">
        <v>-0.66305463906700024</v>
      </c>
      <c r="AB61" s="8">
        <v>-1.4524766094214936E-4</v>
      </c>
      <c r="AC61" s="47">
        <v>7.0129483500000003</v>
      </c>
      <c r="AE61" s="12">
        <f t="shared" si="13"/>
        <v>1.1104137498189478E-3</v>
      </c>
      <c r="AF61" s="12">
        <f t="shared" si="14"/>
        <v>0.26189788797432051</v>
      </c>
      <c r="AG61" s="12">
        <f t="shared" si="15"/>
        <v>1.6915637872014999</v>
      </c>
      <c r="AH61" s="12">
        <f t="shared" si="16"/>
        <v>0.54467216690241171</v>
      </c>
      <c r="AI61" s="12">
        <f t="shared" si="17"/>
        <v>0</v>
      </c>
      <c r="AJ61" s="12">
        <f t="shared" si="18"/>
        <v>0</v>
      </c>
      <c r="AK61" s="12">
        <f t="shared" si="19"/>
        <v>2.785503811608169E-6</v>
      </c>
      <c r="AL61" s="12">
        <f t="shared" si="20"/>
        <v>0</v>
      </c>
      <c r="AM61" s="12">
        <f t="shared" si="21"/>
        <v>-3.2009203308088145E-2</v>
      </c>
      <c r="AN61" s="12">
        <f t="shared" si="22"/>
        <v>0</v>
      </c>
      <c r="AO61" s="12">
        <f t="shared" si="23"/>
        <v>0</v>
      </c>
      <c r="AP61" s="12">
        <f t="shared" si="24"/>
        <v>1.0069631534344214</v>
      </c>
      <c r="AQ61" s="12">
        <f t="shared" si="25"/>
        <v>-1.1849100000000057E-4</v>
      </c>
      <c r="AR61" s="4"/>
      <c r="AS61" s="3"/>
    </row>
    <row r="62" spans="1:45" ht="15" x14ac:dyDescent="0.25">
      <c r="A62" s="1">
        <v>2013</v>
      </c>
      <c r="B62" s="8">
        <v>8.1999999999999993</v>
      </c>
      <c r="C62" s="8">
        <v>-1.0796536924810418E-2</v>
      </c>
      <c r="D62" s="8">
        <v>-9.4927835585003617E-3</v>
      </c>
      <c r="E62" s="8">
        <v>1.9589078725580356E-3</v>
      </c>
      <c r="F62" s="8">
        <v>1.9589078725580356E-3</v>
      </c>
      <c r="G62" s="8">
        <v>-7.9817341138921361E-3</v>
      </c>
      <c r="H62" s="8">
        <v>-2.3691282578396367E-2</v>
      </c>
      <c r="I62" s="8">
        <v>-8.8284225353157941E-3</v>
      </c>
      <c r="J62" s="8">
        <v>-1.078733040787383E-2</v>
      </c>
      <c r="K62" s="8">
        <v>-0.65347170379604569</v>
      </c>
      <c r="L62" s="8">
        <v>-0.65620856792866089</v>
      </c>
      <c r="M62" s="8">
        <v>-0.67006133639902843</v>
      </c>
      <c r="N62" s="8">
        <v>-1.1115904337752336E-2</v>
      </c>
      <c r="O62" s="43">
        <v>7.1356459699999997</v>
      </c>
      <c r="P62" s="4"/>
      <c r="Q62" s="8">
        <v>8.1956797966963144</v>
      </c>
      <c r="R62" s="8">
        <v>-1.3371762580697277E-2</v>
      </c>
      <c r="S62" s="8">
        <v>1.3460647382037561E-2</v>
      </c>
      <c r="T62" s="66">
        <v>9.944438474690509E-3</v>
      </c>
      <c r="U62" s="8">
        <v>5.5198782722386541E-3</v>
      </c>
      <c r="V62" s="8">
        <v>-1.0787300359723861E-2</v>
      </c>
      <c r="W62" s="8">
        <v>-8.4286188503335246E-4</v>
      </c>
      <c r="X62" s="8">
        <v>-1.0787300359723861E-2</v>
      </c>
      <c r="Y62" s="8">
        <v>-0.68250228062022977</v>
      </c>
      <c r="Z62" s="8">
        <v>-0.67721328139199877</v>
      </c>
      <c r="AA62" s="8">
        <v>-0.67006133639902843</v>
      </c>
      <c r="AB62" s="8">
        <v>1.8629457647393322E-3</v>
      </c>
      <c r="AC62" s="47">
        <v>7.14882068</v>
      </c>
      <c r="AE62" s="12">
        <f t="shared" si="13"/>
        <v>5.268540614249851E-4</v>
      </c>
      <c r="AF62" s="12">
        <f t="shared" si="14"/>
        <v>-0.23852330370574626</v>
      </c>
      <c r="AG62" s="12">
        <f t="shared" si="15"/>
        <v>2.4179873900089248</v>
      </c>
      <c r="AH62" s="12">
        <f t="shared" si="16"/>
        <v>-4.0765217772618296</v>
      </c>
      <c r="AI62" s="12">
        <f t="shared" si="17"/>
        <v>1.6915637872014999</v>
      </c>
      <c r="AJ62" s="12">
        <f t="shared" si="18"/>
        <v>0.54467216690241171</v>
      </c>
      <c r="AK62" s="12">
        <f t="shared" si="19"/>
        <v>0.9045285970781638</v>
      </c>
      <c r="AL62" s="12">
        <f t="shared" si="20"/>
        <v>2.785503811608169E-6</v>
      </c>
      <c r="AM62" s="12">
        <f t="shared" si="21"/>
        <v>-4.4425147493830558E-2</v>
      </c>
      <c r="AN62" s="12">
        <f t="shared" si="22"/>
        <v>-3.2009203308088145E-2</v>
      </c>
      <c r="AO62" s="12">
        <f t="shared" si="23"/>
        <v>0</v>
      </c>
      <c r="AP62" s="12">
        <f t="shared" si="24"/>
        <v>1.1675928208928816</v>
      </c>
      <c r="AQ62" s="12">
        <f t="shared" si="25"/>
        <v>-1.3174710000000368E-4</v>
      </c>
      <c r="AR62" s="4"/>
      <c r="AS62" s="3"/>
    </row>
    <row r="63" spans="1:45" ht="15" x14ac:dyDescent="0.25">
      <c r="A63" s="1">
        <v>2014</v>
      </c>
      <c r="B63" s="8">
        <v>8.3000000000000007</v>
      </c>
      <c r="C63" s="8">
        <v>-7.9436951587588123E-3</v>
      </c>
      <c r="D63" s="8">
        <v>5.9511554332842831E-3</v>
      </c>
      <c r="E63" s="8">
        <v>1.125736445673875E-2</v>
      </c>
      <c r="F63" s="8">
        <v>1.125736445673875E-2</v>
      </c>
      <c r="G63" s="8">
        <v>-9.4927835585003617E-3</v>
      </c>
      <c r="H63" s="8">
        <v>1.9589078725580356E-3</v>
      </c>
      <c r="I63" s="8">
        <v>2.4289419214229557E-3</v>
      </c>
      <c r="J63" s="8">
        <v>-8.8284225353157941E-3</v>
      </c>
      <c r="K63" s="8">
        <v>-0.66223942833301219</v>
      </c>
      <c r="L63" s="8">
        <v>-0.65347170379604569</v>
      </c>
      <c r="M63" s="8">
        <v>-0.65620856792866089</v>
      </c>
      <c r="N63" s="8">
        <v>-1.1504588669581706E-2</v>
      </c>
      <c r="O63" s="43">
        <v>7.2055770199999998</v>
      </c>
      <c r="P63" s="4"/>
      <c r="Q63" s="8">
        <v>8.4138472759916958</v>
      </c>
      <c r="R63" s="8">
        <v>-3.2383651305183392E-3</v>
      </c>
      <c r="S63" s="8">
        <v>-5.0773488757936969E-3</v>
      </c>
      <c r="T63" s="66">
        <v>8.5862070200184437E-3</v>
      </c>
      <c r="U63" s="8">
        <v>1.3460647382037561E-2</v>
      </c>
      <c r="V63" s="8">
        <v>9.944438474690509E-3</v>
      </c>
      <c r="W63" s="66">
        <v>7.7433451349850912E-3</v>
      </c>
      <c r="X63" s="66">
        <v>-8.4286188503335246E-4</v>
      </c>
      <c r="Y63" s="66">
        <v>-0.68081374727053989</v>
      </c>
      <c r="Z63" s="66">
        <v>-0.68250228062022977</v>
      </c>
      <c r="AA63" s="66">
        <v>-0.67721328139199877</v>
      </c>
      <c r="AB63" s="66">
        <v>6.9775325779208863E-3</v>
      </c>
      <c r="AC63" s="47">
        <v>7.2450913899999998</v>
      </c>
      <c r="AE63" s="12">
        <f t="shared" si="13"/>
        <v>-1.371653927610784E-2</v>
      </c>
      <c r="AF63" s="12">
        <f t="shared" si="14"/>
        <v>0.59233517074888264</v>
      </c>
      <c r="AG63" s="12">
        <f t="shared" si="15"/>
        <v>1.8531702679779689</v>
      </c>
      <c r="AH63" s="12">
        <f t="shared" si="16"/>
        <v>0.23728088816750795</v>
      </c>
      <c r="AI63" s="12">
        <f t="shared" si="17"/>
        <v>2.4179873900089248</v>
      </c>
      <c r="AJ63" s="12">
        <f t="shared" si="18"/>
        <v>-4.0765217772618296</v>
      </c>
      <c r="AK63" s="12">
        <f t="shared" si="19"/>
        <v>-2.1879498915514537</v>
      </c>
      <c r="AL63" s="12">
        <f t="shared" si="20"/>
        <v>0.9045285970781638</v>
      </c>
      <c r="AM63" s="12">
        <f t="shared" si="21"/>
        <v>-2.8047739447170851E-2</v>
      </c>
      <c r="AN63" s="12">
        <f t="shared" si="22"/>
        <v>-4.4425147493830558E-2</v>
      </c>
      <c r="AO63" s="12">
        <f t="shared" si="23"/>
        <v>-3.2009203308088145E-2</v>
      </c>
      <c r="AP63" s="12">
        <f t="shared" si="24"/>
        <v>1.6064999608694903</v>
      </c>
      <c r="AQ63" s="12">
        <f t="shared" si="25"/>
        <v>-3.9514370000000022E-4</v>
      </c>
      <c r="AR63" s="4"/>
      <c r="AS63" s="3"/>
    </row>
    <row r="64" spans="1:45" ht="15" x14ac:dyDescent="0.25">
      <c r="A64" s="26">
        <v>2015</v>
      </c>
      <c r="B64" s="21">
        <v>8.1</v>
      </c>
      <c r="C64" s="21">
        <v>3.2088640328620244E-4</v>
      </c>
      <c r="D64" s="21">
        <v>2.0326187808787921E-3</v>
      </c>
      <c r="E64" s="21">
        <v>7.1656484160746992E-3</v>
      </c>
      <c r="F64" s="21">
        <v>7.1656484160747E-3</v>
      </c>
      <c r="G64" s="21">
        <v>5.9511554332842831E-3</v>
      </c>
      <c r="H64" s="21">
        <v>1.125736445673875E-2</v>
      </c>
      <c r="I64" s="21">
        <v>9.5945903374976549E-3</v>
      </c>
      <c r="J64" s="21">
        <v>2.4289419214229557E-3</v>
      </c>
      <c r="K64" s="21">
        <v>-0.67540872563130327</v>
      </c>
      <c r="L64" s="21">
        <v>-0.66223942833301219</v>
      </c>
      <c r="M64" s="21">
        <v>-0.65347170379604569</v>
      </c>
      <c r="N64" s="21">
        <v>-4.4015727613245792E-3</v>
      </c>
      <c r="O64" s="119">
        <v>7.2348570299999997</v>
      </c>
      <c r="P64" s="4"/>
      <c r="Q64" s="19">
        <v>8.2942102866867184</v>
      </c>
      <c r="R64" s="19">
        <v>-3.0821279733332929E-3</v>
      </c>
      <c r="S64" s="19">
        <v>6.7288941084142628E-4</v>
      </c>
      <c r="T64" s="67">
        <v>1.7268712124458574E-3</v>
      </c>
      <c r="U64" s="19">
        <v>-5.0773488757936969E-3</v>
      </c>
      <c r="V64" s="19">
        <v>8.5862070200184437E-3</v>
      </c>
      <c r="W64" s="66">
        <v>9.4702163474309486E-3</v>
      </c>
      <c r="X64" s="66">
        <v>7.7433451349850912E-3</v>
      </c>
      <c r="Y64" s="66">
        <v>-0.67450658910458638</v>
      </c>
      <c r="Z64" s="66">
        <v>-0.68081374727053989</v>
      </c>
      <c r="AA64" s="66">
        <v>-0.68250228062022977</v>
      </c>
      <c r="AB64" s="66">
        <v>4.6186248162636279E-3</v>
      </c>
      <c r="AC64" s="20">
        <v>7.3022905800000002</v>
      </c>
      <c r="AE64" s="12">
        <f t="shared" si="13"/>
        <v>-2.3976578603298618E-2</v>
      </c>
      <c r="AF64" s="12">
        <f t="shared" si="14"/>
        <v>10.605043846573661</v>
      </c>
      <c r="AG64" s="12">
        <f t="shared" si="15"/>
        <v>0.66895444577634666</v>
      </c>
      <c r="AH64" s="12">
        <f t="shared" si="16"/>
        <v>0.75900698552667378</v>
      </c>
      <c r="AI64" s="12">
        <f t="shared" si="17"/>
        <v>1.8531702679779689</v>
      </c>
      <c r="AJ64" s="12">
        <f t="shared" si="18"/>
        <v>0.23728088816750795</v>
      </c>
      <c r="AK64" s="12">
        <f t="shared" si="19"/>
        <v>1.2962928659979032E-2</v>
      </c>
      <c r="AL64" s="12">
        <f t="shared" si="20"/>
        <v>-2.1879498915514537</v>
      </c>
      <c r="AM64" s="12">
        <f t="shared" si="21"/>
        <v>1.3356897719579576E-3</v>
      </c>
      <c r="AN64" s="12">
        <f t="shared" si="22"/>
        <v>-2.8047739447170851E-2</v>
      </c>
      <c r="AO64" s="12">
        <f t="shared" si="23"/>
        <v>-4.4425147493830558E-2</v>
      </c>
      <c r="AP64" s="12">
        <f t="shared" si="24"/>
        <v>2.0493123859830797</v>
      </c>
      <c r="AQ64" s="12">
        <f t="shared" si="25"/>
        <v>-6.7433550000000513E-4</v>
      </c>
      <c r="AR64" s="4"/>
      <c r="AS64" s="3"/>
    </row>
    <row r="65" spans="1:45" ht="15" x14ac:dyDescent="0.25">
      <c r="A65" s="22">
        <v>2016</v>
      </c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43">
        <f>O64+0.5*(O64-O63)</f>
        <v>7.2494970349999992</v>
      </c>
      <c r="P65" s="23"/>
      <c r="Q65" s="21">
        <v>8.073867057135848</v>
      </c>
      <c r="R65" s="21">
        <v>3.4761128019353826E-3</v>
      </c>
      <c r="S65" s="21">
        <v>1.9835214181234129E-3</v>
      </c>
      <c r="T65" s="21">
        <v>9.8993065109698186E-4</v>
      </c>
      <c r="U65" s="21">
        <v>6.7288941084142628E-4</v>
      </c>
      <c r="V65" s="21">
        <v>1.7268712124458574E-3</v>
      </c>
      <c r="W65" s="21">
        <v>1.0460146998527931E-2</v>
      </c>
      <c r="X65" s="21">
        <v>9.4702163474309486E-3</v>
      </c>
      <c r="Y65" s="21">
        <v>-0.66886452866210289</v>
      </c>
      <c r="Z65" s="21">
        <v>-0.67450658910458638</v>
      </c>
      <c r="AA65" s="21">
        <v>-0.68081374727053989</v>
      </c>
      <c r="AB65" s="21">
        <v>-6.6509772347000951E-4</v>
      </c>
      <c r="AC65" s="120">
        <v>7.34939521</v>
      </c>
      <c r="AD65" s="23"/>
      <c r="AE65" s="12"/>
      <c r="AF65" s="25"/>
      <c r="AG65" s="25"/>
      <c r="AH65" s="25"/>
      <c r="AI65" s="25"/>
      <c r="AJ65" s="25"/>
      <c r="AK65" s="25"/>
      <c r="AL65" s="25"/>
      <c r="AM65" s="25"/>
      <c r="AN65" s="25"/>
      <c r="AO65" s="25"/>
      <c r="AP65" s="25"/>
      <c r="AQ65" s="12">
        <f t="shared" si="25"/>
        <v>-9.9898175000000754E-4</v>
      </c>
      <c r="AR65" s="4"/>
      <c r="AS65" s="3"/>
    </row>
    <row r="66" spans="1:45" s="3" customFormat="1" ht="15" x14ac:dyDescent="0.25">
      <c r="A66" s="22">
        <v>2017</v>
      </c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43">
        <f t="shared" ref="O66" si="26">O65+0.5*(O65-O64)</f>
        <v>7.2568170374999994</v>
      </c>
      <c r="P66" s="23"/>
      <c r="Q66" s="186">
        <v>7.8050174847240683</v>
      </c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20">
        <f>AC65+0.5*(AC65-AC64)</f>
        <v>7.3729475249999998</v>
      </c>
      <c r="AD66" s="23"/>
      <c r="AE66" s="12"/>
      <c r="AF66" s="25"/>
      <c r="AG66" s="25"/>
      <c r="AH66" s="25"/>
      <c r="AI66" s="25"/>
      <c r="AJ66" s="25"/>
      <c r="AK66" s="25"/>
      <c r="AL66" s="25"/>
      <c r="AM66" s="25"/>
      <c r="AN66" s="25"/>
      <c r="AO66" s="25"/>
      <c r="AP66" s="25"/>
      <c r="AQ66" s="12">
        <f t="shared" si="25"/>
        <v>-1.1613048750000042E-3</v>
      </c>
      <c r="AR66" s="4"/>
    </row>
    <row r="67" spans="1:45" s="140" customFormat="1" ht="15" x14ac:dyDescent="0.25">
      <c r="A67" s="97">
        <v>2018</v>
      </c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6">
        <f>O66+0.5*(O66-O65)</f>
        <v>7.2604770387499995</v>
      </c>
      <c r="P67" s="98"/>
      <c r="Q67" s="198">
        <v>7.5024668185089283</v>
      </c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0">
        <f>AC66+0.5*(AC66-AC65)</f>
        <v>7.3847236824999998</v>
      </c>
      <c r="AD67" s="98"/>
      <c r="AE67" s="99"/>
      <c r="AF67" s="99"/>
      <c r="AG67" s="99"/>
      <c r="AH67" s="99"/>
      <c r="AI67" s="99"/>
      <c r="AJ67" s="99"/>
      <c r="AK67" s="99"/>
      <c r="AL67" s="99"/>
      <c r="AM67" s="99"/>
      <c r="AN67" s="99"/>
      <c r="AO67" s="99"/>
      <c r="AP67" s="99"/>
      <c r="AQ67" s="99">
        <f t="shared" si="25"/>
        <v>-1.2424664375000028E-3</v>
      </c>
      <c r="AR67" s="4"/>
    </row>
    <row r="68" spans="1:45" s="140" customFormat="1" ht="15" x14ac:dyDescent="0.25">
      <c r="A68" s="97">
        <v>2019</v>
      </c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6">
        <f t="shared" ref="O68:O69" si="27">O67+0.5*(O67-O66)</f>
        <v>7.2623070393749991</v>
      </c>
      <c r="P68" s="98"/>
      <c r="Q68" s="186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20">
        <f t="shared" ref="AC68:AC69" si="28">AC67+0.5*(AC67-AC66)</f>
        <v>7.3906117612499997</v>
      </c>
      <c r="AD68" s="98"/>
      <c r="AE68" s="95"/>
      <c r="AF68" s="99"/>
      <c r="AG68" s="99"/>
      <c r="AH68" s="99"/>
      <c r="AI68" s="99"/>
      <c r="AJ68" s="99"/>
      <c r="AK68" s="99"/>
      <c r="AL68" s="99"/>
      <c r="AM68" s="99"/>
      <c r="AN68" s="99"/>
      <c r="AO68" s="99"/>
      <c r="AP68" s="99"/>
      <c r="AQ68" s="99">
        <f t="shared" si="25"/>
        <v>-1.2830472187500064E-3</v>
      </c>
      <c r="AR68" s="4"/>
    </row>
    <row r="69" spans="1:45" ht="15.75" thickBot="1" x14ac:dyDescent="0.3">
      <c r="A69" s="199">
        <v>2020</v>
      </c>
      <c r="B69" s="101"/>
      <c r="C69" s="101"/>
      <c r="D69" s="101"/>
      <c r="E69" s="101"/>
      <c r="F69" s="101"/>
      <c r="G69" s="101"/>
      <c r="H69" s="101"/>
      <c r="I69" s="101"/>
      <c r="J69" s="101"/>
      <c r="K69" s="101"/>
      <c r="L69" s="101"/>
      <c r="M69" s="101"/>
      <c r="N69" s="101"/>
      <c r="O69" s="208">
        <f t="shared" si="27"/>
        <v>7.2632220396874985</v>
      </c>
      <c r="P69" s="98"/>
      <c r="Q69" s="101"/>
      <c r="R69" s="101"/>
      <c r="S69" s="101"/>
      <c r="T69" s="101"/>
      <c r="U69" s="101"/>
      <c r="V69" s="101"/>
      <c r="W69" s="101"/>
      <c r="X69" s="101"/>
      <c r="Y69" s="101"/>
      <c r="Z69" s="101"/>
      <c r="AA69" s="101"/>
      <c r="AB69" s="101"/>
      <c r="AC69" s="209">
        <f t="shared" si="28"/>
        <v>7.3935558006250002</v>
      </c>
      <c r="AD69" s="28"/>
      <c r="AE69" s="101"/>
      <c r="AF69" s="101"/>
      <c r="AG69" s="101"/>
      <c r="AH69" s="101"/>
      <c r="AI69" s="101"/>
      <c r="AJ69" s="101"/>
      <c r="AK69" s="101"/>
      <c r="AL69" s="101"/>
      <c r="AM69" s="101"/>
      <c r="AN69" s="101"/>
      <c r="AO69" s="101"/>
      <c r="AP69" s="101"/>
      <c r="AQ69" s="102">
        <f t="shared" si="25"/>
        <v>-1.3033376093750171E-3</v>
      </c>
      <c r="AR69" s="28"/>
      <c r="AS69" s="3"/>
    </row>
    <row r="70" spans="1:45" s="140" customFormat="1" ht="15" thickTop="1" x14ac:dyDescent="0.2">
      <c r="A70" s="97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Q70" s="186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E70" s="99"/>
      <c r="AF70" s="99"/>
      <c r="AG70" s="99"/>
      <c r="AH70" s="99"/>
      <c r="AI70" s="99"/>
      <c r="AJ70" s="99"/>
      <c r="AK70" s="99"/>
      <c r="AL70" s="99"/>
      <c r="AM70" s="99"/>
      <c r="AN70" s="99"/>
      <c r="AO70" s="99"/>
      <c r="AP70" s="99"/>
      <c r="AQ70" s="99"/>
    </row>
    <row r="71" spans="1:45" x14ac:dyDescent="0.2">
      <c r="P71" s="9"/>
      <c r="T71" s="8"/>
      <c r="U71" s="8"/>
      <c r="V71" s="8"/>
      <c r="W71" s="8"/>
      <c r="X71" s="8"/>
      <c r="Y71" s="8"/>
      <c r="Z71" s="8"/>
      <c r="AA71" s="8"/>
      <c r="AB71" s="8"/>
      <c r="AD71" s="3"/>
    </row>
    <row r="72" spans="1:45" ht="28.5" x14ac:dyDescent="0.2">
      <c r="A72" t="s">
        <v>66</v>
      </c>
      <c r="E72" s="6" t="s">
        <v>71</v>
      </c>
      <c r="F72" s="6" t="s">
        <v>102</v>
      </c>
      <c r="G72" s="6" t="s">
        <v>72</v>
      </c>
      <c r="H72" s="6" t="s">
        <v>107</v>
      </c>
      <c r="J72" s="6" t="s">
        <v>106</v>
      </c>
      <c r="K72" s="6"/>
      <c r="L72" s="5" t="s">
        <v>103</v>
      </c>
      <c r="M72" s="6" t="s">
        <v>104</v>
      </c>
      <c r="N72" s="7" t="s">
        <v>105</v>
      </c>
      <c r="P72" s="9"/>
      <c r="T72" s="6" t="s">
        <v>448</v>
      </c>
      <c r="U72" s="6" t="s">
        <v>449</v>
      </c>
      <c r="V72" s="6" t="s">
        <v>73</v>
      </c>
      <c r="X72" s="6" t="s">
        <v>450</v>
      </c>
      <c r="Z72" s="6" t="s">
        <v>451</v>
      </c>
      <c r="AA72" s="6" t="s">
        <v>452</v>
      </c>
      <c r="AB72" s="7" t="s">
        <v>453</v>
      </c>
      <c r="AD72" s="3"/>
      <c r="AE72" s="13"/>
    </row>
    <row r="73" spans="1:45" x14ac:dyDescent="0.2">
      <c r="G73" s="8"/>
      <c r="P73" s="9"/>
      <c r="T73" s="14"/>
      <c r="AD73" s="3"/>
    </row>
    <row r="74" spans="1:45" x14ac:dyDescent="0.2">
      <c r="A74" t="s">
        <v>67</v>
      </c>
      <c r="F74" s="8"/>
      <c r="H74" s="8"/>
      <c r="M74" s="64"/>
      <c r="O74" s="64"/>
      <c r="P74" s="69"/>
      <c r="T74" s="14"/>
      <c r="AD74" s="3"/>
    </row>
    <row r="75" spans="1:45" x14ac:dyDescent="0.2">
      <c r="F75" s="8"/>
      <c r="H75" s="8"/>
      <c r="I75" s="8"/>
      <c r="M75" s="64"/>
      <c r="O75" s="64"/>
      <c r="P75" s="69"/>
      <c r="T75" s="14"/>
      <c r="U75" s="65"/>
      <c r="V75" s="65"/>
      <c r="X75" s="65"/>
      <c r="Z75" s="65"/>
      <c r="AA75" s="8"/>
      <c r="AB75" s="8"/>
      <c r="AD75" s="72"/>
    </row>
    <row r="76" spans="1:45" x14ac:dyDescent="0.2">
      <c r="B76" s="1" t="s">
        <v>68</v>
      </c>
      <c r="H76" s="8"/>
      <c r="I76" s="8"/>
      <c r="M76" s="64"/>
      <c r="N76" s="64"/>
      <c r="O76" s="70"/>
      <c r="P76" s="71"/>
      <c r="T76" s="8"/>
      <c r="U76" s="65"/>
      <c r="V76" s="65"/>
      <c r="X76" s="65"/>
      <c r="Z76" s="65"/>
      <c r="AA76" s="8"/>
      <c r="AB76" s="8"/>
      <c r="AD76" s="72"/>
    </row>
    <row r="77" spans="1:45" x14ac:dyDescent="0.2">
      <c r="I77" s="8"/>
      <c r="M77" s="64"/>
      <c r="N77" s="64"/>
      <c r="O77" s="70"/>
      <c r="P77" s="71"/>
      <c r="T77" s="8"/>
      <c r="U77" s="65"/>
      <c r="V77" s="65"/>
      <c r="X77" s="65"/>
      <c r="Z77" s="65"/>
      <c r="AA77" s="8"/>
      <c r="AB77" s="14"/>
      <c r="AD77" s="72"/>
    </row>
    <row r="78" spans="1:45" x14ac:dyDescent="0.2">
      <c r="B78" s="13" t="s">
        <v>63</v>
      </c>
      <c r="I78" s="8"/>
      <c r="M78" s="64"/>
      <c r="N78" s="64"/>
      <c r="O78" s="70"/>
      <c r="P78" s="71"/>
      <c r="T78" s="8"/>
      <c r="U78" s="65"/>
      <c r="V78" s="65"/>
      <c r="X78" s="65"/>
      <c r="Z78" s="65"/>
      <c r="AA78" s="8"/>
      <c r="AB78" s="14"/>
      <c r="AD78" s="72"/>
    </row>
    <row r="79" spans="1:45" x14ac:dyDescent="0.2">
      <c r="I79" s="8"/>
      <c r="M79" s="64"/>
      <c r="N79" s="64"/>
      <c r="O79" s="70"/>
      <c r="T79" s="8"/>
      <c r="U79" s="65"/>
      <c r="V79" s="65"/>
      <c r="X79" s="65"/>
      <c r="Z79" s="65"/>
      <c r="AA79" s="8"/>
      <c r="AB79" s="14"/>
      <c r="AD79" s="72"/>
    </row>
    <row r="80" spans="1:45" x14ac:dyDescent="0.2">
      <c r="A80" s="91" t="s">
        <v>122</v>
      </c>
      <c r="M80" s="64"/>
      <c r="N80" s="64"/>
      <c r="O80" s="70"/>
      <c r="T80" s="8"/>
      <c r="AD80" s="3"/>
    </row>
    <row r="81" spans="1:30" x14ac:dyDescent="0.2">
      <c r="C81" s="92" t="s">
        <v>138</v>
      </c>
      <c r="M81" s="64"/>
      <c r="N81" s="64"/>
      <c r="O81" s="70"/>
      <c r="P81" s="71"/>
      <c r="T81" s="8"/>
      <c r="U81" s="190"/>
      <c r="V81" s="84"/>
      <c r="AD81" s="3"/>
    </row>
    <row r="82" spans="1:30" x14ac:dyDescent="0.2">
      <c r="C82" s="92" t="s">
        <v>163</v>
      </c>
      <c r="M82" s="64"/>
      <c r="N82" s="64"/>
      <c r="O82" s="70"/>
      <c r="P82" s="71"/>
      <c r="T82" s="189"/>
      <c r="U82" s="190"/>
      <c r="V82" s="84"/>
      <c r="W82" s="194"/>
      <c r="AD82" s="3"/>
    </row>
    <row r="83" spans="1:30" x14ac:dyDescent="0.2">
      <c r="M83" s="64"/>
      <c r="N83" s="64"/>
      <c r="O83" s="70"/>
      <c r="P83" s="71"/>
      <c r="T83" s="189"/>
      <c r="U83" s="190"/>
      <c r="V83" s="84"/>
      <c r="W83" s="194"/>
      <c r="AD83" s="3"/>
    </row>
    <row r="84" spans="1:30" x14ac:dyDescent="0.2">
      <c r="A84" s="91" t="s">
        <v>143</v>
      </c>
      <c r="M84" s="64"/>
      <c r="N84" s="64"/>
      <c r="O84" s="70"/>
      <c r="P84" s="71"/>
      <c r="T84" s="189"/>
      <c r="U84" s="190"/>
      <c r="V84" s="84"/>
      <c r="W84" s="194"/>
      <c r="AD84" s="3"/>
    </row>
    <row r="85" spans="1:30" x14ac:dyDescent="0.2">
      <c r="C85" s="92" t="s">
        <v>138</v>
      </c>
      <c r="M85" s="64"/>
      <c r="N85" s="64"/>
      <c r="O85" s="70"/>
      <c r="P85" s="71"/>
      <c r="T85" s="189"/>
      <c r="U85" s="190"/>
      <c r="V85" s="84"/>
      <c r="W85" s="194"/>
      <c r="AD85" s="3"/>
    </row>
    <row r="86" spans="1:30" x14ac:dyDescent="0.2">
      <c r="C86" s="92" t="s">
        <v>163</v>
      </c>
      <c r="M86" s="64"/>
      <c r="N86" s="64"/>
      <c r="O86" s="70"/>
      <c r="P86" s="71"/>
      <c r="T86" s="189"/>
      <c r="U86" s="190"/>
      <c r="V86" s="84"/>
      <c r="W86" s="194"/>
      <c r="AD86" s="3"/>
    </row>
    <row r="87" spans="1:30" x14ac:dyDescent="0.2">
      <c r="M87" s="64"/>
      <c r="N87" s="64"/>
      <c r="O87" s="70"/>
      <c r="P87" s="71"/>
      <c r="T87" s="189"/>
      <c r="U87" s="190"/>
      <c r="V87" s="84"/>
      <c r="W87" s="194"/>
      <c r="AD87" s="3"/>
    </row>
    <row r="88" spans="1:30" x14ac:dyDescent="0.2">
      <c r="M88" s="64"/>
      <c r="N88" s="64"/>
      <c r="O88" s="70"/>
      <c r="P88" s="71"/>
      <c r="T88" s="189"/>
      <c r="U88" s="190"/>
      <c r="V88" s="84"/>
      <c r="W88" s="194"/>
      <c r="AD88" s="3"/>
    </row>
    <row r="89" spans="1:30" x14ac:dyDescent="0.2">
      <c r="M89" s="64"/>
      <c r="N89" s="64"/>
      <c r="O89" s="70"/>
      <c r="P89" s="71"/>
      <c r="AD89" s="3"/>
    </row>
    <row r="90" spans="1:30" x14ac:dyDescent="0.2">
      <c r="M90" s="64"/>
      <c r="N90" s="64"/>
      <c r="O90" s="70"/>
      <c r="P90" s="71"/>
      <c r="AD90" s="3"/>
    </row>
    <row r="91" spans="1:30" x14ac:dyDescent="0.2">
      <c r="M91" s="64"/>
      <c r="N91" s="64"/>
      <c r="O91" s="70"/>
      <c r="P91" s="71"/>
      <c r="AD91" s="3"/>
    </row>
    <row r="92" spans="1:30" x14ac:dyDescent="0.2">
      <c r="M92" s="64"/>
      <c r="N92" s="64"/>
      <c r="O92" s="70"/>
      <c r="P92" s="71"/>
      <c r="AD92" s="3"/>
    </row>
    <row r="93" spans="1:30" x14ac:dyDescent="0.2">
      <c r="M93" s="64"/>
      <c r="N93" s="64"/>
      <c r="O93" s="70"/>
      <c r="P93" s="71"/>
      <c r="AD93" s="3"/>
    </row>
    <row r="94" spans="1:30" x14ac:dyDescent="0.2">
      <c r="M94" s="64"/>
      <c r="N94" s="64"/>
      <c r="O94" s="70"/>
      <c r="P94" s="71"/>
      <c r="AD94" s="3"/>
    </row>
    <row r="95" spans="1:30" x14ac:dyDescent="0.2">
      <c r="M95" s="64"/>
      <c r="N95" s="64"/>
      <c r="O95" s="70"/>
      <c r="P95" s="71"/>
      <c r="AD95" s="3"/>
    </row>
    <row r="96" spans="1:30" x14ac:dyDescent="0.2">
      <c r="M96" s="64"/>
      <c r="N96" s="64"/>
      <c r="O96" s="70"/>
      <c r="P96" s="71"/>
      <c r="AD96" s="3"/>
    </row>
    <row r="97" spans="13:30" x14ac:dyDescent="0.2">
      <c r="M97" s="64"/>
      <c r="N97" s="64"/>
      <c r="O97" s="70"/>
      <c r="P97" s="71"/>
      <c r="AD97" s="3"/>
    </row>
    <row r="98" spans="13:30" x14ac:dyDescent="0.2">
      <c r="M98" s="64"/>
      <c r="N98" s="64"/>
      <c r="O98" s="70"/>
      <c r="P98" s="71"/>
      <c r="AD98" s="3"/>
    </row>
    <row r="99" spans="13:30" x14ac:dyDescent="0.2">
      <c r="M99" s="64"/>
      <c r="N99" s="64"/>
      <c r="O99" s="70"/>
      <c r="P99" s="71"/>
      <c r="AD99" s="3"/>
    </row>
    <row r="100" spans="13:30" x14ac:dyDescent="0.2">
      <c r="M100" s="64"/>
      <c r="N100" s="64"/>
      <c r="O100" s="70"/>
      <c r="P100" s="71"/>
      <c r="AD100" s="3"/>
    </row>
    <row r="101" spans="13:30" x14ac:dyDescent="0.2">
      <c r="M101" s="64"/>
      <c r="N101" s="64"/>
      <c r="O101" s="70"/>
      <c r="P101" s="71"/>
      <c r="AD101" s="3"/>
    </row>
    <row r="102" spans="13:30" x14ac:dyDescent="0.2">
      <c r="M102" s="64"/>
      <c r="N102" s="64"/>
      <c r="O102" s="70"/>
      <c r="P102" s="71"/>
      <c r="AD102" s="3"/>
    </row>
    <row r="103" spans="13:30" x14ac:dyDescent="0.2">
      <c r="M103" s="64"/>
      <c r="N103" s="64"/>
      <c r="O103" s="70"/>
      <c r="P103" s="71"/>
      <c r="AD103" s="3"/>
    </row>
    <row r="104" spans="13:30" x14ac:dyDescent="0.2">
      <c r="M104" s="64"/>
      <c r="N104" s="64"/>
      <c r="O104" s="31"/>
      <c r="P104" s="71"/>
      <c r="AD104" s="3"/>
    </row>
    <row r="105" spans="13:30" x14ac:dyDescent="0.2">
      <c r="M105" s="64"/>
      <c r="N105" s="64"/>
      <c r="O105" s="140"/>
      <c r="P105" s="71"/>
      <c r="AD105" s="3"/>
    </row>
    <row r="106" spans="13:30" x14ac:dyDescent="0.2">
      <c r="M106" s="64"/>
      <c r="N106" s="64"/>
      <c r="O106" s="148"/>
      <c r="P106" s="71"/>
      <c r="AD106" s="3"/>
    </row>
    <row r="107" spans="13:30" x14ac:dyDescent="0.2">
      <c r="M107" s="64"/>
      <c r="N107" s="64"/>
      <c r="O107" s="148"/>
      <c r="P107" s="71"/>
      <c r="AD107" s="3"/>
    </row>
    <row r="108" spans="13:30" x14ac:dyDescent="0.2">
      <c r="M108" s="64"/>
      <c r="N108" s="64"/>
      <c r="O108" s="148"/>
      <c r="P108" s="71"/>
      <c r="AD108" s="3"/>
    </row>
    <row r="109" spans="13:30" x14ac:dyDescent="0.2">
      <c r="M109" s="64"/>
      <c r="N109" s="64"/>
      <c r="O109" s="148"/>
      <c r="P109" s="71"/>
      <c r="AD109" s="3"/>
    </row>
    <row r="110" spans="13:30" x14ac:dyDescent="0.2">
      <c r="M110" s="64"/>
      <c r="N110" s="64"/>
      <c r="O110" s="148"/>
      <c r="P110" s="71"/>
      <c r="AD110" s="3"/>
    </row>
    <row r="111" spans="13:30" x14ac:dyDescent="0.2">
      <c r="M111" s="64"/>
      <c r="N111" s="64"/>
      <c r="O111" s="148"/>
      <c r="P111" s="71"/>
      <c r="AD111" s="3"/>
    </row>
    <row r="112" spans="13:30" x14ac:dyDescent="0.2">
      <c r="M112" s="64"/>
      <c r="N112" s="64"/>
      <c r="O112" s="148"/>
      <c r="P112" s="71"/>
      <c r="AD112" s="3"/>
    </row>
    <row r="113" spans="13:30" x14ac:dyDescent="0.2">
      <c r="M113" s="64"/>
      <c r="N113" s="64"/>
      <c r="O113" s="148"/>
      <c r="P113" s="71"/>
      <c r="AD113" s="3"/>
    </row>
    <row r="114" spans="13:30" x14ac:dyDescent="0.2">
      <c r="M114" s="64"/>
      <c r="N114" s="64"/>
      <c r="O114" s="148"/>
      <c r="P114" s="71"/>
      <c r="AD114" s="3"/>
    </row>
    <row r="115" spans="13:30" x14ac:dyDescent="0.2">
      <c r="M115" s="64"/>
      <c r="N115" s="64"/>
      <c r="O115" s="148"/>
      <c r="P115" s="71"/>
      <c r="AD115" s="3"/>
    </row>
    <row r="116" spans="13:30" x14ac:dyDescent="0.2">
      <c r="M116" s="64"/>
      <c r="N116" s="64"/>
      <c r="O116" s="148"/>
      <c r="P116" s="71"/>
      <c r="AD116" s="3"/>
    </row>
    <row r="117" spans="13:30" x14ac:dyDescent="0.2">
      <c r="M117" s="64"/>
      <c r="N117" s="64"/>
      <c r="O117" s="148"/>
      <c r="P117" s="71"/>
      <c r="AD117" s="3"/>
    </row>
    <row r="118" spans="13:30" x14ac:dyDescent="0.2">
      <c r="M118" s="64"/>
      <c r="N118" s="64"/>
      <c r="O118" s="148"/>
      <c r="P118" s="71"/>
      <c r="AD118" s="3"/>
    </row>
    <row r="119" spans="13:30" x14ac:dyDescent="0.2">
      <c r="M119" s="64"/>
      <c r="N119" s="64"/>
      <c r="O119" s="148"/>
      <c r="P119" s="71"/>
      <c r="AD119" s="3"/>
    </row>
    <row r="120" spans="13:30" x14ac:dyDescent="0.2">
      <c r="M120" s="64"/>
      <c r="N120" s="64"/>
      <c r="O120" s="148"/>
      <c r="P120" s="71"/>
      <c r="AD120" s="3"/>
    </row>
    <row r="121" spans="13:30" x14ac:dyDescent="0.2">
      <c r="M121" s="64"/>
      <c r="N121" s="64"/>
      <c r="O121" s="148"/>
      <c r="P121" s="71"/>
      <c r="AD121" s="3"/>
    </row>
    <row r="122" spans="13:30" x14ac:dyDescent="0.2">
      <c r="M122" s="64"/>
      <c r="N122" s="64"/>
      <c r="O122" s="148"/>
      <c r="P122" s="71"/>
      <c r="AD122" s="3"/>
    </row>
    <row r="123" spans="13:30" x14ac:dyDescent="0.2">
      <c r="M123" s="64"/>
      <c r="N123" s="64"/>
      <c r="O123" s="148"/>
      <c r="P123" s="71"/>
      <c r="AD123" s="3"/>
    </row>
    <row r="124" spans="13:30" x14ac:dyDescent="0.2">
      <c r="M124" s="64"/>
      <c r="N124" s="64"/>
      <c r="O124" s="148"/>
      <c r="P124" s="71"/>
      <c r="AD124" s="3"/>
    </row>
    <row r="125" spans="13:30" x14ac:dyDescent="0.2">
      <c r="O125" s="148"/>
      <c r="P125" s="71"/>
      <c r="AD125" s="3"/>
    </row>
    <row r="126" spans="13:30" x14ac:dyDescent="0.2">
      <c r="O126" s="148"/>
      <c r="P126" s="71"/>
      <c r="AD126" s="3"/>
    </row>
    <row r="127" spans="13:30" x14ac:dyDescent="0.2">
      <c r="O127" s="148"/>
      <c r="P127" s="71"/>
      <c r="AD127" s="3"/>
    </row>
    <row r="128" spans="13:30" x14ac:dyDescent="0.2">
      <c r="O128" s="148"/>
      <c r="P128" s="71"/>
      <c r="AD128" s="3"/>
    </row>
    <row r="129" spans="14:30" x14ac:dyDescent="0.2">
      <c r="O129" s="148"/>
      <c r="P129" s="71"/>
      <c r="AD129" s="3"/>
    </row>
    <row r="130" spans="14:30" ht="15" x14ac:dyDescent="0.25">
      <c r="N130" s="8"/>
      <c r="O130" s="148"/>
      <c r="P130" s="43"/>
      <c r="AD130" s="3"/>
    </row>
    <row r="131" spans="14:30" ht="15" x14ac:dyDescent="0.25">
      <c r="N131" s="8"/>
      <c r="O131" s="148"/>
      <c r="P131" s="43"/>
      <c r="AD131" s="3"/>
    </row>
    <row r="132" spans="14:30" ht="15" x14ac:dyDescent="0.25">
      <c r="N132" s="8"/>
      <c r="O132" s="148"/>
      <c r="P132" s="196"/>
      <c r="AD132" s="3"/>
    </row>
    <row r="133" spans="14:30" ht="15" x14ac:dyDescent="0.25">
      <c r="N133" s="8"/>
      <c r="O133" s="148"/>
      <c r="P133" s="196"/>
      <c r="AD133" s="3"/>
    </row>
    <row r="134" spans="14:30" ht="15" x14ac:dyDescent="0.25">
      <c r="N134" s="8"/>
      <c r="O134" s="148"/>
      <c r="P134" s="196"/>
      <c r="AD134" s="3"/>
    </row>
    <row r="135" spans="14:30" x14ac:dyDescent="0.2">
      <c r="O135" s="148"/>
      <c r="P135" s="71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D135" s="3"/>
    </row>
    <row r="136" spans="14:30" x14ac:dyDescent="0.2"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D136" s="3"/>
    </row>
    <row r="137" spans="14:30" x14ac:dyDescent="0.2"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D137" s="3"/>
    </row>
    <row r="138" spans="14:30" x14ac:dyDescent="0.2"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D138" s="3"/>
    </row>
    <row r="139" spans="14:30" x14ac:dyDescent="0.2"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D139" s="3"/>
    </row>
    <row r="140" spans="14:30" x14ac:dyDescent="0.2">
      <c r="Q140" s="8"/>
      <c r="R140" s="8"/>
      <c r="S140" s="8"/>
      <c r="T140" s="8"/>
      <c r="U140" s="8"/>
      <c r="V140" s="8"/>
      <c r="W140" s="8"/>
      <c r="X140" s="8"/>
      <c r="Y140" s="8"/>
      <c r="Z140" s="8"/>
      <c r="AA140" s="8"/>
      <c r="AB140" s="8"/>
      <c r="AD140" s="3"/>
    </row>
    <row r="141" spans="14:30" x14ac:dyDescent="0.2"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D141" s="3"/>
    </row>
    <row r="142" spans="14:30" x14ac:dyDescent="0.2"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D142" s="3"/>
    </row>
    <row r="143" spans="14:30" x14ac:dyDescent="0.2">
      <c r="Q143" s="8"/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  <c r="AD143" s="3"/>
    </row>
    <row r="144" spans="14:30" x14ac:dyDescent="0.2">
      <c r="Q144" s="8"/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D144" s="3"/>
    </row>
    <row r="145" spans="17:30" x14ac:dyDescent="0.2"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D145" s="3"/>
    </row>
    <row r="146" spans="17:30" x14ac:dyDescent="0.2"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D146" s="3"/>
    </row>
    <row r="147" spans="17:30" x14ac:dyDescent="0.2"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D147" s="3"/>
    </row>
    <row r="148" spans="17:30" x14ac:dyDescent="0.2"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D148" s="3"/>
    </row>
    <row r="149" spans="17:30" x14ac:dyDescent="0.2"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D149" s="3"/>
    </row>
    <row r="150" spans="17:30" x14ac:dyDescent="0.2"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  <c r="AD150" s="3"/>
    </row>
    <row r="151" spans="17:30" x14ac:dyDescent="0.2"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D151" s="3"/>
    </row>
    <row r="152" spans="17:30" x14ac:dyDescent="0.2"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D152" s="3"/>
    </row>
    <row r="153" spans="17:30" x14ac:dyDescent="0.2"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D153" s="3"/>
    </row>
    <row r="154" spans="17:30" x14ac:dyDescent="0.2"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D154" s="3"/>
    </row>
    <row r="155" spans="17:30" x14ac:dyDescent="0.2"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D155" s="3"/>
    </row>
    <row r="156" spans="17:30" x14ac:dyDescent="0.2"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  <c r="AD156" s="3"/>
    </row>
    <row r="157" spans="17:30" x14ac:dyDescent="0.2"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D157" s="3"/>
    </row>
    <row r="158" spans="17:30" x14ac:dyDescent="0.2"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D158" s="3"/>
    </row>
    <row r="159" spans="17:30" x14ac:dyDescent="0.2"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D159" s="3"/>
    </row>
    <row r="160" spans="17:30" x14ac:dyDescent="0.2"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D160" s="3"/>
    </row>
    <row r="161" spans="17:30" x14ac:dyDescent="0.2"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D161" s="3"/>
    </row>
    <row r="162" spans="17:30" x14ac:dyDescent="0.2"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D162" s="3"/>
    </row>
    <row r="163" spans="17:30" x14ac:dyDescent="0.2"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D163" s="3"/>
    </row>
    <row r="164" spans="17:30" x14ac:dyDescent="0.2"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D164" s="3"/>
    </row>
    <row r="165" spans="17:30" x14ac:dyDescent="0.2"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D165" s="3"/>
    </row>
    <row r="166" spans="17:30" x14ac:dyDescent="0.2"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D166" s="3"/>
    </row>
    <row r="167" spans="17:30" x14ac:dyDescent="0.2"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D167" s="3"/>
    </row>
    <row r="168" spans="17:30" x14ac:dyDescent="0.2"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D168" s="3"/>
    </row>
    <row r="169" spans="17:30" x14ac:dyDescent="0.2"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  <c r="AD169" s="3"/>
    </row>
    <row r="170" spans="17:30" x14ac:dyDescent="0.2"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  <c r="AB170" s="8"/>
      <c r="AD170" s="3"/>
    </row>
    <row r="171" spans="17:30" x14ac:dyDescent="0.2"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D171" s="3"/>
    </row>
    <row r="172" spans="17:30" x14ac:dyDescent="0.2">
      <c r="Q172" s="8"/>
      <c r="R172" s="8"/>
      <c r="S172" s="8"/>
      <c r="T172" s="8"/>
      <c r="U172" s="8"/>
      <c r="V172" s="8"/>
      <c r="W172" s="8"/>
      <c r="X172" s="8"/>
      <c r="Y172" s="8"/>
      <c r="Z172" s="8"/>
      <c r="AA172" s="8"/>
      <c r="AB172" s="8"/>
      <c r="AD172" s="3"/>
    </row>
    <row r="173" spans="17:30" x14ac:dyDescent="0.2"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  <c r="AB173" s="8"/>
      <c r="AD173" s="3"/>
    </row>
    <row r="174" spans="17:30" x14ac:dyDescent="0.2"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  <c r="AD174" s="3"/>
    </row>
    <row r="175" spans="17:30" x14ac:dyDescent="0.2"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D175" s="3"/>
    </row>
    <row r="176" spans="17:30" x14ac:dyDescent="0.2"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  <c r="AD176" s="3"/>
    </row>
    <row r="177" spans="17:30" x14ac:dyDescent="0.2"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  <c r="AD177" s="3"/>
    </row>
    <row r="178" spans="17:30" x14ac:dyDescent="0.2"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  <c r="AD178" s="3"/>
    </row>
    <row r="179" spans="17:30" x14ac:dyDescent="0.2"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  <c r="AB179" s="8"/>
      <c r="AD179" s="3"/>
    </row>
    <row r="180" spans="17:30" x14ac:dyDescent="0.2">
      <c r="Q180" s="8"/>
      <c r="R180" s="8"/>
      <c r="S180" s="8"/>
      <c r="T180" s="8"/>
      <c r="U180" s="8"/>
      <c r="V180" s="8"/>
      <c r="W180" s="8"/>
      <c r="X180" s="8"/>
      <c r="Y180" s="8"/>
      <c r="Z180" s="8"/>
      <c r="AA180" s="8"/>
      <c r="AB180" s="8"/>
      <c r="AD180" s="3"/>
    </row>
    <row r="181" spans="17:30" x14ac:dyDescent="0.2"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  <c r="AB181" s="8"/>
      <c r="AD181" s="3"/>
    </row>
    <row r="182" spans="17:30" x14ac:dyDescent="0.2"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  <c r="AD182" s="3"/>
    </row>
    <row r="183" spans="17:30" x14ac:dyDescent="0.2"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D183" s="3"/>
    </row>
    <row r="184" spans="17:30" x14ac:dyDescent="0.2"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D184" s="3"/>
    </row>
    <row r="185" spans="17:30" x14ac:dyDescent="0.2"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D185" s="3"/>
    </row>
    <row r="186" spans="17:30" x14ac:dyDescent="0.2"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  <c r="AB186" s="8"/>
      <c r="AD186" s="3"/>
    </row>
    <row r="187" spans="17:30" x14ac:dyDescent="0.2"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D187" s="3"/>
    </row>
    <row r="188" spans="17:30" x14ac:dyDescent="0.2"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  <c r="AD188" s="3"/>
    </row>
    <row r="189" spans="17:30" x14ac:dyDescent="0.2"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D189" s="3"/>
    </row>
    <row r="190" spans="17:30" x14ac:dyDescent="0.2"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D190" s="3"/>
    </row>
    <row r="191" spans="17:30" x14ac:dyDescent="0.2"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D191" s="3"/>
    </row>
    <row r="192" spans="17:30" x14ac:dyDescent="0.2"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D192" s="3"/>
    </row>
    <row r="193" spans="17:30" x14ac:dyDescent="0.2"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D193" s="3"/>
    </row>
    <row r="194" spans="17:30" x14ac:dyDescent="0.2"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D194" s="3"/>
    </row>
    <row r="195" spans="17:30" x14ac:dyDescent="0.2"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D195" s="3"/>
    </row>
    <row r="196" spans="17:30" x14ac:dyDescent="0.2"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D196" s="3"/>
    </row>
    <row r="197" spans="17:30" x14ac:dyDescent="0.2"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D197" s="3"/>
    </row>
    <row r="198" spans="17:30" x14ac:dyDescent="0.2"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D198" s="3"/>
    </row>
    <row r="199" spans="17:30" x14ac:dyDescent="0.2"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D199" s="3"/>
    </row>
    <row r="200" spans="17:30" x14ac:dyDescent="0.2"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  <c r="AD200" s="3"/>
    </row>
    <row r="201" spans="17:30" x14ac:dyDescent="0.2"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D201" s="3"/>
    </row>
    <row r="202" spans="17:30" x14ac:dyDescent="0.2"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D202" s="3"/>
    </row>
    <row r="203" spans="17:30" x14ac:dyDescent="0.2">
      <c r="AD203" s="3"/>
    </row>
    <row r="204" spans="17:30" x14ac:dyDescent="0.2">
      <c r="AD204" s="3"/>
    </row>
    <row r="205" spans="17:30" x14ac:dyDescent="0.2">
      <c r="AD205" s="3"/>
    </row>
    <row r="206" spans="17:30" x14ac:dyDescent="0.2">
      <c r="AD206" s="3"/>
    </row>
    <row r="207" spans="17:30" x14ac:dyDescent="0.2">
      <c r="AD207" s="3"/>
    </row>
    <row r="208" spans="17:30" x14ac:dyDescent="0.2">
      <c r="AD208" s="3"/>
    </row>
    <row r="209" spans="30:30" x14ac:dyDescent="0.2">
      <c r="AD209" s="3"/>
    </row>
    <row r="210" spans="30:30" x14ac:dyDescent="0.2">
      <c r="AD210" s="3"/>
    </row>
    <row r="211" spans="30:30" x14ac:dyDescent="0.2">
      <c r="AD211" s="3"/>
    </row>
    <row r="212" spans="30:30" x14ac:dyDescent="0.2">
      <c r="AD212" s="3"/>
    </row>
    <row r="213" spans="30:30" x14ac:dyDescent="0.2">
      <c r="AD213" s="3"/>
    </row>
    <row r="214" spans="30:30" x14ac:dyDescent="0.2">
      <c r="AD214" s="3"/>
    </row>
    <row r="215" spans="30:30" x14ac:dyDescent="0.2">
      <c r="AD215" s="3"/>
    </row>
    <row r="216" spans="30:30" x14ac:dyDescent="0.2">
      <c r="AD216" s="3"/>
    </row>
    <row r="217" spans="30:30" x14ac:dyDescent="0.2">
      <c r="AD217" s="3"/>
    </row>
    <row r="218" spans="30:30" x14ac:dyDescent="0.2">
      <c r="AD218" s="3"/>
    </row>
    <row r="219" spans="30:30" x14ac:dyDescent="0.2">
      <c r="AD219" s="3"/>
    </row>
    <row r="220" spans="30:30" x14ac:dyDescent="0.2">
      <c r="AD220" s="3"/>
    </row>
    <row r="221" spans="30:30" x14ac:dyDescent="0.2">
      <c r="AD221" s="3"/>
    </row>
    <row r="222" spans="30:30" x14ac:dyDescent="0.2">
      <c r="AD222" s="3"/>
    </row>
    <row r="223" spans="30:30" x14ac:dyDescent="0.2">
      <c r="AD223" s="3"/>
    </row>
    <row r="224" spans="30:30" x14ac:dyDescent="0.2">
      <c r="AD224" s="3"/>
    </row>
    <row r="225" spans="30:30" x14ac:dyDescent="0.2">
      <c r="AD225" s="3"/>
    </row>
    <row r="226" spans="30:30" x14ac:dyDescent="0.2">
      <c r="AD226" s="3"/>
    </row>
    <row r="227" spans="30:30" x14ac:dyDescent="0.2">
      <c r="AD227" s="3"/>
    </row>
    <row r="228" spans="30:30" x14ac:dyDescent="0.2">
      <c r="AD228" s="3"/>
    </row>
    <row r="229" spans="30:30" x14ac:dyDescent="0.2">
      <c r="AD229" s="3"/>
    </row>
    <row r="230" spans="30:30" x14ac:dyDescent="0.2">
      <c r="AD230" s="3"/>
    </row>
    <row r="231" spans="30:30" x14ac:dyDescent="0.2">
      <c r="AD231" s="3"/>
    </row>
    <row r="232" spans="30:30" x14ac:dyDescent="0.2">
      <c r="AD232" s="3"/>
    </row>
    <row r="233" spans="30:30" x14ac:dyDescent="0.2">
      <c r="AD233" s="3"/>
    </row>
    <row r="234" spans="30:30" x14ac:dyDescent="0.2">
      <c r="AD234" s="3"/>
    </row>
    <row r="235" spans="30:30" x14ac:dyDescent="0.2">
      <c r="AD235" s="3"/>
    </row>
    <row r="236" spans="30:30" x14ac:dyDescent="0.2">
      <c r="AD236" s="3"/>
    </row>
    <row r="237" spans="30:30" x14ac:dyDescent="0.2">
      <c r="AD237" s="3"/>
    </row>
    <row r="238" spans="30:30" x14ac:dyDescent="0.2">
      <c r="AD238" s="3"/>
    </row>
    <row r="239" spans="30:30" x14ac:dyDescent="0.2">
      <c r="AD239" s="3"/>
    </row>
    <row r="240" spans="30:30" x14ac:dyDescent="0.2">
      <c r="AD240" s="3"/>
    </row>
    <row r="241" spans="30:30" x14ac:dyDescent="0.2">
      <c r="AD241" s="3"/>
    </row>
    <row r="242" spans="30:30" x14ac:dyDescent="0.2">
      <c r="AD242" s="3"/>
    </row>
    <row r="243" spans="30:30" x14ac:dyDescent="0.2">
      <c r="AD243" s="3"/>
    </row>
    <row r="244" spans="30:30" x14ac:dyDescent="0.2">
      <c r="AD244" s="3"/>
    </row>
    <row r="245" spans="30:30" x14ac:dyDescent="0.2">
      <c r="AD245" s="3"/>
    </row>
    <row r="246" spans="30:30" x14ac:dyDescent="0.2">
      <c r="AD246" s="3"/>
    </row>
    <row r="247" spans="30:30" x14ac:dyDescent="0.2">
      <c r="AD247" s="3"/>
    </row>
    <row r="248" spans="30:30" x14ac:dyDescent="0.2">
      <c r="AD248" s="3"/>
    </row>
    <row r="249" spans="30:30" x14ac:dyDescent="0.2">
      <c r="AD249" s="3"/>
    </row>
    <row r="250" spans="30:30" x14ac:dyDescent="0.2">
      <c r="AD250" s="3"/>
    </row>
    <row r="251" spans="30:30" x14ac:dyDescent="0.2">
      <c r="AD251" s="3"/>
    </row>
    <row r="252" spans="30:30" x14ac:dyDescent="0.2">
      <c r="AD252" s="3"/>
    </row>
    <row r="253" spans="30:30" x14ac:dyDescent="0.2">
      <c r="AD253" s="3"/>
    </row>
    <row r="254" spans="30:30" x14ac:dyDescent="0.2">
      <c r="AD254" s="3"/>
    </row>
    <row r="255" spans="30:30" x14ac:dyDescent="0.2">
      <c r="AD255" s="3"/>
    </row>
    <row r="256" spans="30:30" x14ac:dyDescent="0.2">
      <c r="AD256" s="3"/>
    </row>
    <row r="257" spans="30:30" x14ac:dyDescent="0.2">
      <c r="AD257" s="3"/>
    </row>
    <row r="258" spans="30:30" x14ac:dyDescent="0.2">
      <c r="AD258" s="3"/>
    </row>
    <row r="259" spans="30:30" x14ac:dyDescent="0.2">
      <c r="AD259" s="3"/>
    </row>
    <row r="260" spans="30:30" x14ac:dyDescent="0.2">
      <c r="AD260" s="3"/>
    </row>
    <row r="261" spans="30:30" x14ac:dyDescent="0.2">
      <c r="AD261" s="3"/>
    </row>
    <row r="262" spans="30:30" x14ac:dyDescent="0.2">
      <c r="AD262" s="3"/>
    </row>
    <row r="263" spans="30:30" x14ac:dyDescent="0.2">
      <c r="AD263" s="3"/>
    </row>
    <row r="264" spans="30:30" x14ac:dyDescent="0.2">
      <c r="AD264" s="3"/>
    </row>
    <row r="265" spans="30:30" x14ac:dyDescent="0.2">
      <c r="AD265" s="3"/>
    </row>
    <row r="266" spans="30:30" x14ac:dyDescent="0.2">
      <c r="AD266" s="3"/>
    </row>
    <row r="267" spans="30:30" x14ac:dyDescent="0.2">
      <c r="AD267" s="3"/>
    </row>
    <row r="268" spans="30:30" x14ac:dyDescent="0.2">
      <c r="AD268" s="3"/>
    </row>
    <row r="269" spans="30:30" x14ac:dyDescent="0.2">
      <c r="AD269" s="3"/>
    </row>
    <row r="270" spans="30:30" x14ac:dyDescent="0.2">
      <c r="AD270" s="3"/>
    </row>
    <row r="271" spans="30:30" x14ac:dyDescent="0.2">
      <c r="AD271" s="3"/>
    </row>
    <row r="272" spans="30:30" x14ac:dyDescent="0.2">
      <c r="AD272" s="3"/>
    </row>
    <row r="273" spans="30:30" x14ac:dyDescent="0.2">
      <c r="AD273" s="3"/>
    </row>
    <row r="274" spans="30:30" x14ac:dyDescent="0.2">
      <c r="AD274" s="3"/>
    </row>
    <row r="275" spans="30:30" x14ac:dyDescent="0.2">
      <c r="AD275" s="3"/>
    </row>
    <row r="276" spans="30:30" x14ac:dyDescent="0.2">
      <c r="AD276" s="3"/>
    </row>
    <row r="277" spans="30:30" x14ac:dyDescent="0.2">
      <c r="AD277" s="3"/>
    </row>
    <row r="278" spans="30:30" x14ac:dyDescent="0.2">
      <c r="AD278" s="3"/>
    </row>
    <row r="279" spans="30:30" x14ac:dyDescent="0.2">
      <c r="AD279" s="3"/>
    </row>
    <row r="280" spans="30:30" x14ac:dyDescent="0.2">
      <c r="AD280" s="3"/>
    </row>
    <row r="281" spans="30:30" x14ac:dyDescent="0.2">
      <c r="AD281" s="3"/>
    </row>
    <row r="282" spans="30:30" x14ac:dyDescent="0.2">
      <c r="AD282" s="3"/>
    </row>
    <row r="283" spans="30:30" x14ac:dyDescent="0.2">
      <c r="AD283" s="3"/>
    </row>
    <row r="284" spans="30:30" x14ac:dyDescent="0.2">
      <c r="AD284" s="3"/>
    </row>
    <row r="285" spans="30:30" x14ac:dyDescent="0.2">
      <c r="AD285" s="3"/>
    </row>
    <row r="286" spans="30:30" x14ac:dyDescent="0.2">
      <c r="AD286" s="3"/>
    </row>
    <row r="287" spans="30:30" x14ac:dyDescent="0.2">
      <c r="AD287" s="3"/>
    </row>
    <row r="288" spans="30:30" x14ac:dyDescent="0.2">
      <c r="AD288" s="3"/>
    </row>
    <row r="289" spans="30:30" x14ac:dyDescent="0.2">
      <c r="AD289" s="3"/>
    </row>
    <row r="290" spans="30:30" x14ac:dyDescent="0.2">
      <c r="AD290" s="3"/>
    </row>
    <row r="291" spans="30:30" x14ac:dyDescent="0.2">
      <c r="AD291" s="3"/>
    </row>
    <row r="292" spans="30:30" x14ac:dyDescent="0.2">
      <c r="AD292" s="3"/>
    </row>
    <row r="293" spans="30:30" x14ac:dyDescent="0.2">
      <c r="AD293" s="3"/>
    </row>
    <row r="294" spans="30:30" x14ac:dyDescent="0.2">
      <c r="AD294" s="3"/>
    </row>
    <row r="295" spans="30:30" x14ac:dyDescent="0.2">
      <c r="AD295" s="3"/>
    </row>
    <row r="296" spans="30:30" x14ac:dyDescent="0.2">
      <c r="AD296" s="3"/>
    </row>
    <row r="297" spans="30:30" x14ac:dyDescent="0.2">
      <c r="AD297" s="3"/>
    </row>
    <row r="298" spans="30:30" x14ac:dyDescent="0.2">
      <c r="AD298" s="3"/>
    </row>
    <row r="299" spans="30:30" x14ac:dyDescent="0.2">
      <c r="AD299" s="3"/>
    </row>
    <row r="300" spans="30:30" x14ac:dyDescent="0.2">
      <c r="AD300" s="3"/>
    </row>
    <row r="301" spans="30:30" x14ac:dyDescent="0.2">
      <c r="AD301" s="3"/>
    </row>
    <row r="302" spans="30:30" x14ac:dyDescent="0.2">
      <c r="AD302" s="3"/>
    </row>
    <row r="303" spans="30:30" x14ac:dyDescent="0.2">
      <c r="AD303" s="3"/>
    </row>
    <row r="304" spans="30:30" x14ac:dyDescent="0.2">
      <c r="AD304" s="3"/>
    </row>
    <row r="305" spans="30:30" x14ac:dyDescent="0.2">
      <c r="AD305" s="3"/>
    </row>
    <row r="306" spans="30:30" x14ac:dyDescent="0.2">
      <c r="AD306" s="3"/>
    </row>
    <row r="307" spans="30:30" x14ac:dyDescent="0.2">
      <c r="AD307" s="3"/>
    </row>
    <row r="308" spans="30:30" x14ac:dyDescent="0.2">
      <c r="AD308" s="3"/>
    </row>
    <row r="309" spans="30:30" x14ac:dyDescent="0.2">
      <c r="AD309" s="3"/>
    </row>
    <row r="310" spans="30:30" x14ac:dyDescent="0.2">
      <c r="AD310" s="3"/>
    </row>
    <row r="311" spans="30:30" x14ac:dyDescent="0.2">
      <c r="AD311" s="3"/>
    </row>
    <row r="312" spans="30:30" x14ac:dyDescent="0.2">
      <c r="AD312" s="3"/>
    </row>
    <row r="313" spans="30:30" x14ac:dyDescent="0.2">
      <c r="AD313" s="3"/>
    </row>
    <row r="314" spans="30:30" x14ac:dyDescent="0.2">
      <c r="AD314" s="3"/>
    </row>
    <row r="315" spans="30:30" x14ac:dyDescent="0.2">
      <c r="AD315" s="3"/>
    </row>
    <row r="316" spans="30:30" x14ac:dyDescent="0.2">
      <c r="AD316" s="3"/>
    </row>
    <row r="317" spans="30:30" x14ac:dyDescent="0.2">
      <c r="AD317" s="3"/>
    </row>
    <row r="318" spans="30:30" x14ac:dyDescent="0.2">
      <c r="AD318" s="3"/>
    </row>
    <row r="319" spans="30:30" x14ac:dyDescent="0.2">
      <c r="AD319" s="3"/>
    </row>
    <row r="320" spans="30:30" x14ac:dyDescent="0.2">
      <c r="AD320" s="3"/>
    </row>
    <row r="321" spans="30:30" x14ac:dyDescent="0.2">
      <c r="AD321" s="3"/>
    </row>
    <row r="322" spans="30:30" x14ac:dyDescent="0.2">
      <c r="AD322" s="3"/>
    </row>
    <row r="323" spans="30:30" x14ac:dyDescent="0.2">
      <c r="AD323" s="3"/>
    </row>
    <row r="324" spans="30:30" x14ac:dyDescent="0.2">
      <c r="AD324" s="3"/>
    </row>
    <row r="325" spans="30:30" x14ac:dyDescent="0.2">
      <c r="AD325" s="3"/>
    </row>
    <row r="326" spans="30:30" x14ac:dyDescent="0.2">
      <c r="AD326" s="3"/>
    </row>
    <row r="327" spans="30:30" x14ac:dyDescent="0.2">
      <c r="AD327" s="3"/>
    </row>
    <row r="328" spans="30:30" x14ac:dyDescent="0.2">
      <c r="AD328" s="3"/>
    </row>
    <row r="329" spans="30:30" x14ac:dyDescent="0.2">
      <c r="AD329" s="3"/>
    </row>
    <row r="330" spans="30:30" x14ac:dyDescent="0.2">
      <c r="AD330" s="3"/>
    </row>
    <row r="331" spans="30:30" x14ac:dyDescent="0.2">
      <c r="AD331" s="3"/>
    </row>
    <row r="332" spans="30:30" x14ac:dyDescent="0.2">
      <c r="AD332" s="3"/>
    </row>
    <row r="333" spans="30:30" x14ac:dyDescent="0.2">
      <c r="AD333" s="3"/>
    </row>
    <row r="334" spans="30:30" x14ac:dyDescent="0.2">
      <c r="AD334" s="3"/>
    </row>
    <row r="335" spans="30:30" x14ac:dyDescent="0.2">
      <c r="AD335" s="3"/>
    </row>
    <row r="336" spans="30:30" x14ac:dyDescent="0.2">
      <c r="AD336" s="3"/>
    </row>
    <row r="337" spans="30:30" x14ac:dyDescent="0.2">
      <c r="AD337" s="3"/>
    </row>
    <row r="338" spans="30:30" x14ac:dyDescent="0.2">
      <c r="AD338" s="3"/>
    </row>
    <row r="339" spans="30:30" x14ac:dyDescent="0.2">
      <c r="AD339" s="3"/>
    </row>
    <row r="340" spans="30:30" x14ac:dyDescent="0.2">
      <c r="AD340" s="3"/>
    </row>
    <row r="341" spans="30:30" x14ac:dyDescent="0.2">
      <c r="AD341" s="3"/>
    </row>
    <row r="342" spans="30:30" x14ac:dyDescent="0.2">
      <c r="AD342" s="3"/>
    </row>
    <row r="343" spans="30:30" x14ac:dyDescent="0.2">
      <c r="AD343" s="3"/>
    </row>
    <row r="344" spans="30:30" x14ac:dyDescent="0.2">
      <c r="AD344" s="3"/>
    </row>
    <row r="345" spans="30:30" x14ac:dyDescent="0.2">
      <c r="AD345" s="3"/>
    </row>
    <row r="346" spans="30:30" x14ac:dyDescent="0.2">
      <c r="AD346" s="3"/>
    </row>
    <row r="347" spans="30:30" x14ac:dyDescent="0.2">
      <c r="AD347" s="3"/>
    </row>
    <row r="348" spans="30:30" x14ac:dyDescent="0.2">
      <c r="AD348" s="3"/>
    </row>
    <row r="349" spans="30:30" x14ac:dyDescent="0.2">
      <c r="AD349" s="3"/>
    </row>
    <row r="350" spans="30:30" x14ac:dyDescent="0.2">
      <c r="AD350" s="3"/>
    </row>
    <row r="351" spans="30:30" x14ac:dyDescent="0.2">
      <c r="AD351" s="3"/>
    </row>
    <row r="352" spans="30:30" x14ac:dyDescent="0.2">
      <c r="AD352" s="3"/>
    </row>
    <row r="353" spans="30:30" x14ac:dyDescent="0.2">
      <c r="AD353" s="3"/>
    </row>
    <row r="354" spans="30:30" x14ac:dyDescent="0.2">
      <c r="AD354" s="3"/>
    </row>
    <row r="355" spans="30:30" x14ac:dyDescent="0.2">
      <c r="AD355" s="3"/>
    </row>
    <row r="356" spans="30:30" x14ac:dyDescent="0.2">
      <c r="AD356" s="3"/>
    </row>
    <row r="357" spans="30:30" x14ac:dyDescent="0.2">
      <c r="AD357" s="3"/>
    </row>
    <row r="358" spans="30:30" x14ac:dyDescent="0.2">
      <c r="AD358" s="3"/>
    </row>
    <row r="359" spans="30:30" x14ac:dyDescent="0.2">
      <c r="AD359" s="3"/>
    </row>
    <row r="360" spans="30:30" x14ac:dyDescent="0.2">
      <c r="AD360" s="3"/>
    </row>
    <row r="361" spans="30:30" x14ac:dyDescent="0.2">
      <c r="AD361" s="3"/>
    </row>
    <row r="362" spans="30:30" x14ac:dyDescent="0.2">
      <c r="AD362" s="3"/>
    </row>
    <row r="363" spans="30:30" x14ac:dyDescent="0.2">
      <c r="AD363" s="3"/>
    </row>
    <row r="364" spans="30:30" x14ac:dyDescent="0.2">
      <c r="AD364" s="3"/>
    </row>
    <row r="365" spans="30:30" x14ac:dyDescent="0.2">
      <c r="AD365" s="3"/>
    </row>
    <row r="366" spans="30:30" x14ac:dyDescent="0.2">
      <c r="AD366" s="3"/>
    </row>
    <row r="367" spans="30:30" x14ac:dyDescent="0.2">
      <c r="AD367" s="3"/>
    </row>
    <row r="368" spans="30:30" x14ac:dyDescent="0.2">
      <c r="AD368" s="3"/>
    </row>
    <row r="369" spans="30:30" x14ac:dyDescent="0.2">
      <c r="AD369" s="3"/>
    </row>
    <row r="370" spans="30:30" x14ac:dyDescent="0.2">
      <c r="AD370" s="3"/>
    </row>
    <row r="371" spans="30:30" x14ac:dyDescent="0.2">
      <c r="AD371" s="3"/>
    </row>
    <row r="372" spans="30:30" x14ac:dyDescent="0.2">
      <c r="AD372" s="3"/>
    </row>
    <row r="373" spans="30:30" x14ac:dyDescent="0.2">
      <c r="AD373" s="3"/>
    </row>
    <row r="374" spans="30:30" x14ac:dyDescent="0.2">
      <c r="AD374" s="3"/>
    </row>
    <row r="375" spans="30:30" x14ac:dyDescent="0.2">
      <c r="AD375" s="3"/>
    </row>
    <row r="376" spans="30:30" x14ac:dyDescent="0.2">
      <c r="AD376" s="3"/>
    </row>
    <row r="377" spans="30:30" x14ac:dyDescent="0.2">
      <c r="AD377" s="3"/>
    </row>
    <row r="378" spans="30:30" x14ac:dyDescent="0.2">
      <c r="AD378" s="3"/>
    </row>
    <row r="379" spans="30:30" x14ac:dyDescent="0.2">
      <c r="AD379" s="3"/>
    </row>
    <row r="380" spans="30:30" x14ac:dyDescent="0.2">
      <c r="AD380" s="3"/>
    </row>
    <row r="381" spans="30:30" x14ac:dyDescent="0.2">
      <c r="AD381" s="3"/>
    </row>
    <row r="382" spans="30:30" x14ac:dyDescent="0.2">
      <c r="AD382" s="3"/>
    </row>
    <row r="383" spans="30:30" x14ac:dyDescent="0.2">
      <c r="AD383" s="3"/>
    </row>
    <row r="384" spans="30:30" x14ac:dyDescent="0.2">
      <c r="AD384" s="3"/>
    </row>
    <row r="385" spans="30:30" x14ac:dyDescent="0.2">
      <c r="AD385" s="3"/>
    </row>
    <row r="386" spans="30:30" x14ac:dyDescent="0.2">
      <c r="AD386" s="3"/>
    </row>
    <row r="387" spans="30:30" x14ac:dyDescent="0.2">
      <c r="AD387" s="3"/>
    </row>
    <row r="388" spans="30:30" x14ac:dyDescent="0.2">
      <c r="AD388" s="3"/>
    </row>
    <row r="389" spans="30:30" x14ac:dyDescent="0.2">
      <c r="AD389" s="3"/>
    </row>
    <row r="390" spans="30:30" x14ac:dyDescent="0.2">
      <c r="AD390" s="3"/>
    </row>
    <row r="391" spans="30:30" x14ac:dyDescent="0.2">
      <c r="AD391" s="3"/>
    </row>
    <row r="392" spans="30:30" x14ac:dyDescent="0.2">
      <c r="AD392" s="3"/>
    </row>
    <row r="393" spans="30:30" x14ac:dyDescent="0.2">
      <c r="AD393" s="3"/>
    </row>
    <row r="394" spans="30:30" x14ac:dyDescent="0.2">
      <c r="AD394" s="3"/>
    </row>
    <row r="395" spans="30:30" x14ac:dyDescent="0.2">
      <c r="AD395" s="3"/>
    </row>
    <row r="396" spans="30:30" x14ac:dyDescent="0.2">
      <c r="AD396" s="3"/>
    </row>
    <row r="397" spans="30:30" x14ac:dyDescent="0.2">
      <c r="AD397" s="3"/>
    </row>
    <row r="398" spans="30:30" x14ac:dyDescent="0.2">
      <c r="AD398" s="3"/>
    </row>
    <row r="399" spans="30:30" x14ac:dyDescent="0.2">
      <c r="AD399" s="3"/>
    </row>
    <row r="400" spans="30:30" x14ac:dyDescent="0.2">
      <c r="AD400" s="3"/>
    </row>
    <row r="401" spans="30:30" x14ac:dyDescent="0.2">
      <c r="AD401" s="3"/>
    </row>
    <row r="402" spans="30:30" x14ac:dyDescent="0.2">
      <c r="AD402" s="3"/>
    </row>
    <row r="403" spans="30:30" x14ac:dyDescent="0.2">
      <c r="AD403" s="3"/>
    </row>
    <row r="404" spans="30:30" x14ac:dyDescent="0.2">
      <c r="AD404" s="3"/>
    </row>
    <row r="405" spans="30:30" x14ac:dyDescent="0.2">
      <c r="AD405" s="3"/>
    </row>
    <row r="406" spans="30:30" x14ac:dyDescent="0.2">
      <c r="AD406" s="3"/>
    </row>
    <row r="407" spans="30:30" x14ac:dyDescent="0.2">
      <c r="AD407" s="3"/>
    </row>
    <row r="408" spans="30:30" x14ac:dyDescent="0.2">
      <c r="AD408" s="3"/>
    </row>
    <row r="409" spans="30:30" x14ac:dyDescent="0.2">
      <c r="AD409" s="3"/>
    </row>
    <row r="410" spans="30:30" x14ac:dyDescent="0.2">
      <c r="AD410" s="3"/>
    </row>
    <row r="411" spans="30:30" x14ac:dyDescent="0.2">
      <c r="AD411" s="3"/>
    </row>
    <row r="412" spans="30:30" x14ac:dyDescent="0.2">
      <c r="AD412" s="3"/>
    </row>
    <row r="413" spans="30:30" x14ac:dyDescent="0.2">
      <c r="AD413" s="3"/>
    </row>
    <row r="414" spans="30:30" x14ac:dyDescent="0.2">
      <c r="AD414" s="3"/>
    </row>
    <row r="415" spans="30:30" x14ac:dyDescent="0.2">
      <c r="AD415" s="3"/>
    </row>
    <row r="416" spans="30:30" x14ac:dyDescent="0.2">
      <c r="AD416" s="3"/>
    </row>
    <row r="417" spans="30:30" x14ac:dyDescent="0.2">
      <c r="AD417" s="3"/>
    </row>
    <row r="418" spans="30:30" x14ac:dyDescent="0.2">
      <c r="AD418" s="3"/>
    </row>
    <row r="419" spans="30:30" x14ac:dyDescent="0.2">
      <c r="AD419" s="3"/>
    </row>
    <row r="420" spans="30:30" x14ac:dyDescent="0.2">
      <c r="AD420" s="3"/>
    </row>
    <row r="421" spans="30:30" x14ac:dyDescent="0.2">
      <c r="AD421" s="3"/>
    </row>
    <row r="422" spans="30:30" x14ac:dyDescent="0.2">
      <c r="AD422" s="3"/>
    </row>
    <row r="423" spans="30:30" x14ac:dyDescent="0.2">
      <c r="AD423" s="3"/>
    </row>
    <row r="424" spans="30:30" x14ac:dyDescent="0.2">
      <c r="AD424" s="3"/>
    </row>
    <row r="425" spans="30:30" x14ac:dyDescent="0.2">
      <c r="AD425" s="3"/>
    </row>
    <row r="426" spans="30:30" x14ac:dyDescent="0.2">
      <c r="AD426" s="3"/>
    </row>
    <row r="427" spans="30:30" x14ac:dyDescent="0.2">
      <c r="AD427" s="3"/>
    </row>
    <row r="428" spans="30:30" x14ac:dyDescent="0.2">
      <c r="AD428" s="3"/>
    </row>
    <row r="429" spans="30:30" x14ac:dyDescent="0.2">
      <c r="AD429" s="3"/>
    </row>
    <row r="430" spans="30:30" x14ac:dyDescent="0.2">
      <c r="AD430" s="3"/>
    </row>
    <row r="431" spans="30:30" x14ac:dyDescent="0.2">
      <c r="AD431" s="3"/>
    </row>
    <row r="432" spans="30:30" x14ac:dyDescent="0.2">
      <c r="AD432" s="3"/>
    </row>
    <row r="433" spans="30:30" x14ac:dyDescent="0.2">
      <c r="AD433" s="3"/>
    </row>
    <row r="434" spans="30:30" x14ac:dyDescent="0.2">
      <c r="AD434" s="3"/>
    </row>
    <row r="435" spans="30:30" x14ac:dyDescent="0.2">
      <c r="AD435" s="3"/>
    </row>
    <row r="436" spans="30:30" x14ac:dyDescent="0.2">
      <c r="AD436" s="3"/>
    </row>
    <row r="437" spans="30:30" x14ac:dyDescent="0.2">
      <c r="AD437" s="3"/>
    </row>
    <row r="438" spans="30:30" x14ac:dyDescent="0.2">
      <c r="AD438" s="3"/>
    </row>
    <row r="439" spans="30:30" x14ac:dyDescent="0.2">
      <c r="AD439" s="3"/>
    </row>
    <row r="440" spans="30:30" x14ac:dyDescent="0.2">
      <c r="AD440" s="3"/>
    </row>
    <row r="441" spans="30:30" x14ac:dyDescent="0.2">
      <c r="AD441" s="3"/>
    </row>
    <row r="442" spans="30:30" x14ac:dyDescent="0.2">
      <c r="AD442" s="3"/>
    </row>
    <row r="443" spans="30:30" x14ac:dyDescent="0.2">
      <c r="AD443" s="3"/>
    </row>
    <row r="444" spans="30:30" x14ac:dyDescent="0.2">
      <c r="AD444" s="3"/>
    </row>
    <row r="445" spans="30:30" x14ac:dyDescent="0.2">
      <c r="AD445" s="3"/>
    </row>
    <row r="446" spans="30:30" x14ac:dyDescent="0.2">
      <c r="AD446" s="3"/>
    </row>
    <row r="447" spans="30:30" x14ac:dyDescent="0.2">
      <c r="AD447" s="3"/>
    </row>
    <row r="448" spans="30:30" x14ac:dyDescent="0.2">
      <c r="AD448" s="3"/>
    </row>
    <row r="449" spans="30:30" x14ac:dyDescent="0.2">
      <c r="AD449" s="3"/>
    </row>
    <row r="450" spans="30:30" x14ac:dyDescent="0.2">
      <c r="AD450" s="3"/>
    </row>
    <row r="451" spans="30:30" x14ac:dyDescent="0.2">
      <c r="AD451" s="3"/>
    </row>
    <row r="452" spans="30:30" x14ac:dyDescent="0.2">
      <c r="AD452" s="3"/>
    </row>
    <row r="453" spans="30:30" x14ac:dyDescent="0.2">
      <c r="AD453" s="3"/>
    </row>
    <row r="454" spans="30:30" x14ac:dyDescent="0.2">
      <c r="AD454" s="3"/>
    </row>
    <row r="455" spans="30:30" x14ac:dyDescent="0.2">
      <c r="AD455" s="3"/>
    </row>
    <row r="456" spans="30:30" x14ac:dyDescent="0.2">
      <c r="AD456" s="3"/>
    </row>
    <row r="457" spans="30:30" x14ac:dyDescent="0.2">
      <c r="AD457" s="3"/>
    </row>
    <row r="458" spans="30:30" x14ac:dyDescent="0.2">
      <c r="AD458" s="3"/>
    </row>
    <row r="459" spans="30:30" x14ac:dyDescent="0.2">
      <c r="AD459" s="3"/>
    </row>
    <row r="460" spans="30:30" x14ac:dyDescent="0.2">
      <c r="AD460" s="3"/>
    </row>
    <row r="461" spans="30:30" x14ac:dyDescent="0.2">
      <c r="AD461" s="3"/>
    </row>
    <row r="462" spans="30:30" x14ac:dyDescent="0.2">
      <c r="AD462" s="3"/>
    </row>
    <row r="463" spans="30:30" x14ac:dyDescent="0.2">
      <c r="AD463" s="3"/>
    </row>
    <row r="464" spans="30:30" x14ac:dyDescent="0.2">
      <c r="AD464" s="3"/>
    </row>
    <row r="465" spans="30:30" x14ac:dyDescent="0.2">
      <c r="AD465" s="3"/>
    </row>
    <row r="466" spans="30:30" x14ac:dyDescent="0.2">
      <c r="AD466" s="3"/>
    </row>
    <row r="467" spans="30:30" x14ac:dyDescent="0.2">
      <c r="AD467" s="3"/>
    </row>
    <row r="468" spans="30:30" x14ac:dyDescent="0.2">
      <c r="AD468" s="3"/>
    </row>
    <row r="469" spans="30:30" x14ac:dyDescent="0.2">
      <c r="AD469" s="3"/>
    </row>
    <row r="470" spans="30:30" x14ac:dyDescent="0.2">
      <c r="AD470" s="3"/>
    </row>
    <row r="471" spans="30:30" x14ac:dyDescent="0.2">
      <c r="AD471" s="3"/>
    </row>
    <row r="472" spans="30:30" x14ac:dyDescent="0.2">
      <c r="AD472" s="3"/>
    </row>
    <row r="473" spans="30:30" x14ac:dyDescent="0.2">
      <c r="AD473" s="3"/>
    </row>
    <row r="474" spans="30:30" x14ac:dyDescent="0.2">
      <c r="AD474" s="3"/>
    </row>
    <row r="475" spans="30:30" x14ac:dyDescent="0.2">
      <c r="AD475" s="3"/>
    </row>
    <row r="476" spans="30:30" x14ac:dyDescent="0.2">
      <c r="AD476" s="3"/>
    </row>
    <row r="477" spans="30:30" x14ac:dyDescent="0.2">
      <c r="AD477" s="3"/>
    </row>
    <row r="478" spans="30:30" x14ac:dyDescent="0.2">
      <c r="AD478" s="3"/>
    </row>
    <row r="479" spans="30:30" x14ac:dyDescent="0.2">
      <c r="AD479" s="3"/>
    </row>
    <row r="480" spans="30:30" x14ac:dyDescent="0.2">
      <c r="AD480" s="3"/>
    </row>
    <row r="481" spans="30:30" x14ac:dyDescent="0.2">
      <c r="AD481" s="3"/>
    </row>
    <row r="482" spans="30:30" x14ac:dyDescent="0.2">
      <c r="AD482" s="3"/>
    </row>
    <row r="483" spans="30:30" x14ac:dyDescent="0.2">
      <c r="AD483" s="3"/>
    </row>
    <row r="484" spans="30:30" x14ac:dyDescent="0.2">
      <c r="AD484" s="3"/>
    </row>
    <row r="485" spans="30:30" x14ac:dyDescent="0.2">
      <c r="AD485" s="3"/>
    </row>
    <row r="486" spans="30:30" x14ac:dyDescent="0.2">
      <c r="AD486" s="3"/>
    </row>
    <row r="487" spans="30:30" x14ac:dyDescent="0.2">
      <c r="AD487" s="3"/>
    </row>
    <row r="488" spans="30:30" x14ac:dyDescent="0.2">
      <c r="AD488" s="3"/>
    </row>
    <row r="489" spans="30:30" x14ac:dyDescent="0.2">
      <c r="AD489" s="3"/>
    </row>
    <row r="490" spans="30:30" x14ac:dyDescent="0.2">
      <c r="AD490" s="3"/>
    </row>
    <row r="491" spans="30:30" x14ac:dyDescent="0.2">
      <c r="AD491" s="3"/>
    </row>
    <row r="492" spans="30:30" x14ac:dyDescent="0.2">
      <c r="AD492" s="3"/>
    </row>
    <row r="493" spans="30:30" x14ac:dyDescent="0.2">
      <c r="AD493" s="3"/>
    </row>
    <row r="494" spans="30:30" x14ac:dyDescent="0.2">
      <c r="AD494" s="3"/>
    </row>
    <row r="495" spans="30:30" x14ac:dyDescent="0.2">
      <c r="AD495" s="3"/>
    </row>
    <row r="496" spans="30:30" x14ac:dyDescent="0.2">
      <c r="AD496" s="3"/>
    </row>
    <row r="497" spans="30:30" x14ac:dyDescent="0.2">
      <c r="AD497" s="3"/>
    </row>
    <row r="498" spans="30:30" x14ac:dyDescent="0.2">
      <c r="AD498" s="3"/>
    </row>
    <row r="499" spans="30:30" x14ac:dyDescent="0.2">
      <c r="AD499" s="3"/>
    </row>
    <row r="500" spans="30:30" x14ac:dyDescent="0.2">
      <c r="AD500" s="3"/>
    </row>
    <row r="501" spans="30:30" x14ac:dyDescent="0.2">
      <c r="AD501" s="3"/>
    </row>
    <row r="502" spans="30:30" x14ac:dyDescent="0.2">
      <c r="AD502" s="3"/>
    </row>
    <row r="503" spans="30:30" x14ac:dyDescent="0.2">
      <c r="AD503" s="3"/>
    </row>
    <row r="504" spans="30:30" x14ac:dyDescent="0.2">
      <c r="AD504" s="3"/>
    </row>
    <row r="505" spans="30:30" x14ac:dyDescent="0.2">
      <c r="AD505" s="3"/>
    </row>
    <row r="506" spans="30:30" x14ac:dyDescent="0.2">
      <c r="AD506" s="3"/>
    </row>
    <row r="507" spans="30:30" x14ac:dyDescent="0.2">
      <c r="AD507" s="3"/>
    </row>
    <row r="508" spans="30:30" x14ac:dyDescent="0.2">
      <c r="AD508" s="3"/>
    </row>
    <row r="509" spans="30:30" x14ac:dyDescent="0.2">
      <c r="AD509" s="3"/>
    </row>
    <row r="510" spans="30:30" x14ac:dyDescent="0.2">
      <c r="AD510" s="3"/>
    </row>
    <row r="511" spans="30:30" x14ac:dyDescent="0.2">
      <c r="AD511" s="3"/>
    </row>
    <row r="512" spans="30:30" x14ac:dyDescent="0.2">
      <c r="AD512" s="3"/>
    </row>
    <row r="513" spans="30:30" x14ac:dyDescent="0.2">
      <c r="AD513" s="3"/>
    </row>
    <row r="514" spans="30:30" x14ac:dyDescent="0.2">
      <c r="AD514" s="3"/>
    </row>
    <row r="515" spans="30:30" x14ac:dyDescent="0.2">
      <c r="AD515" s="3"/>
    </row>
    <row r="516" spans="30:30" x14ac:dyDescent="0.2">
      <c r="AD516" s="3"/>
    </row>
    <row r="517" spans="30:30" x14ac:dyDescent="0.2">
      <c r="AD517" s="3"/>
    </row>
    <row r="518" spans="30:30" x14ac:dyDescent="0.2">
      <c r="AD518" s="3"/>
    </row>
    <row r="519" spans="30:30" x14ac:dyDescent="0.2">
      <c r="AD519" s="3"/>
    </row>
    <row r="520" spans="30:30" x14ac:dyDescent="0.2">
      <c r="AD520" s="3"/>
    </row>
    <row r="521" spans="30:30" x14ac:dyDescent="0.2">
      <c r="AD521" s="3"/>
    </row>
    <row r="522" spans="30:30" x14ac:dyDescent="0.2">
      <c r="AD522" s="3"/>
    </row>
    <row r="523" spans="30:30" x14ac:dyDescent="0.2">
      <c r="AD523" s="3"/>
    </row>
    <row r="524" spans="30:30" x14ac:dyDescent="0.2">
      <c r="AD524" s="3"/>
    </row>
    <row r="525" spans="30:30" x14ac:dyDescent="0.2">
      <c r="AD525" s="3"/>
    </row>
    <row r="526" spans="30:30" x14ac:dyDescent="0.2">
      <c r="AD526" s="3"/>
    </row>
    <row r="527" spans="30:30" x14ac:dyDescent="0.2">
      <c r="AD527" s="3"/>
    </row>
    <row r="528" spans="30:30" x14ac:dyDescent="0.2">
      <c r="AD528" s="3"/>
    </row>
    <row r="529" spans="30:30" x14ac:dyDescent="0.2">
      <c r="AD529" s="3"/>
    </row>
    <row r="530" spans="30:30" x14ac:dyDescent="0.2">
      <c r="AD530" s="3"/>
    </row>
    <row r="531" spans="30:30" x14ac:dyDescent="0.2">
      <c r="AD531" s="3"/>
    </row>
    <row r="532" spans="30:30" x14ac:dyDescent="0.2">
      <c r="AD532" s="3"/>
    </row>
    <row r="533" spans="30:30" x14ac:dyDescent="0.2">
      <c r="AD533" s="3"/>
    </row>
    <row r="534" spans="30:30" x14ac:dyDescent="0.2">
      <c r="AD534" s="3"/>
    </row>
    <row r="535" spans="30:30" x14ac:dyDescent="0.2">
      <c r="AD535" s="3"/>
    </row>
    <row r="536" spans="30:30" x14ac:dyDescent="0.2">
      <c r="AD536" s="3"/>
    </row>
    <row r="537" spans="30:30" x14ac:dyDescent="0.2">
      <c r="AD537" s="3"/>
    </row>
    <row r="538" spans="30:30" x14ac:dyDescent="0.2">
      <c r="AD538" s="3"/>
    </row>
    <row r="539" spans="30:30" x14ac:dyDescent="0.2">
      <c r="AD539" s="3"/>
    </row>
    <row r="540" spans="30:30" x14ac:dyDescent="0.2">
      <c r="AD540" s="3"/>
    </row>
    <row r="541" spans="30:30" x14ac:dyDescent="0.2">
      <c r="AD541" s="3"/>
    </row>
    <row r="542" spans="30:30" x14ac:dyDescent="0.2">
      <c r="AD542" s="3"/>
    </row>
    <row r="543" spans="30:30" x14ac:dyDescent="0.2">
      <c r="AD543" s="3"/>
    </row>
    <row r="544" spans="30:30" x14ac:dyDescent="0.2">
      <c r="AD544" s="3"/>
    </row>
    <row r="545" spans="30:30" x14ac:dyDescent="0.2">
      <c r="AD545" s="3"/>
    </row>
    <row r="546" spans="30:30" x14ac:dyDescent="0.2">
      <c r="AD546" s="3"/>
    </row>
    <row r="547" spans="30:30" x14ac:dyDescent="0.2">
      <c r="AD547" s="3"/>
    </row>
    <row r="548" spans="30:30" x14ac:dyDescent="0.2">
      <c r="AD548" s="3"/>
    </row>
    <row r="549" spans="30:30" x14ac:dyDescent="0.2">
      <c r="AD549" s="3"/>
    </row>
    <row r="550" spans="30:30" x14ac:dyDescent="0.2">
      <c r="AD550" s="3"/>
    </row>
    <row r="551" spans="30:30" x14ac:dyDescent="0.2">
      <c r="AD551" s="3"/>
    </row>
    <row r="552" spans="30:30" x14ac:dyDescent="0.2">
      <c r="AD552" s="3"/>
    </row>
    <row r="553" spans="30:30" x14ac:dyDescent="0.2">
      <c r="AD553" s="3"/>
    </row>
    <row r="554" spans="30:30" x14ac:dyDescent="0.2">
      <c r="AD554" s="3"/>
    </row>
    <row r="555" spans="30:30" x14ac:dyDescent="0.2">
      <c r="AD555" s="3"/>
    </row>
    <row r="556" spans="30:30" x14ac:dyDescent="0.2">
      <c r="AD556" s="3"/>
    </row>
    <row r="557" spans="30:30" x14ac:dyDescent="0.2">
      <c r="AD557" s="3"/>
    </row>
    <row r="558" spans="30:30" x14ac:dyDescent="0.2">
      <c r="AD558" s="3"/>
    </row>
    <row r="559" spans="30:30" x14ac:dyDescent="0.2">
      <c r="AD559" s="3"/>
    </row>
    <row r="560" spans="30:30" x14ac:dyDescent="0.2">
      <c r="AD560" s="3"/>
    </row>
    <row r="561" spans="30:30" x14ac:dyDescent="0.2">
      <c r="AD561" s="3"/>
    </row>
    <row r="562" spans="30:30" x14ac:dyDescent="0.2">
      <c r="AD562" s="3"/>
    </row>
    <row r="563" spans="30:30" x14ac:dyDescent="0.2">
      <c r="AD563" s="3"/>
    </row>
    <row r="564" spans="30:30" x14ac:dyDescent="0.2">
      <c r="AD564" s="3"/>
    </row>
    <row r="565" spans="30:30" x14ac:dyDescent="0.2">
      <c r="AD565" s="3"/>
    </row>
    <row r="566" spans="30:30" x14ac:dyDescent="0.2">
      <c r="AD566" s="3"/>
    </row>
    <row r="567" spans="30:30" x14ac:dyDescent="0.2">
      <c r="AD567" s="3"/>
    </row>
    <row r="568" spans="30:30" x14ac:dyDescent="0.2">
      <c r="AD568" s="3"/>
    </row>
    <row r="569" spans="30:30" x14ac:dyDescent="0.2">
      <c r="AD569" s="3"/>
    </row>
    <row r="570" spans="30:30" x14ac:dyDescent="0.2">
      <c r="AD570" s="3"/>
    </row>
    <row r="571" spans="30:30" x14ac:dyDescent="0.2">
      <c r="AD571" s="3"/>
    </row>
    <row r="572" spans="30:30" x14ac:dyDescent="0.2">
      <c r="AD572" s="3"/>
    </row>
    <row r="573" spans="30:30" x14ac:dyDescent="0.2">
      <c r="AD573" s="3"/>
    </row>
    <row r="574" spans="30:30" x14ac:dyDescent="0.2">
      <c r="AD574" s="3"/>
    </row>
    <row r="575" spans="30:30" x14ac:dyDescent="0.2">
      <c r="AD575" s="3"/>
    </row>
    <row r="576" spans="30:30" x14ac:dyDescent="0.2">
      <c r="AD576" s="3"/>
    </row>
    <row r="577" spans="30:30" x14ac:dyDescent="0.2">
      <c r="AD577" s="3"/>
    </row>
    <row r="578" spans="30:30" x14ac:dyDescent="0.2">
      <c r="AD578" s="3"/>
    </row>
    <row r="579" spans="30:30" x14ac:dyDescent="0.2">
      <c r="AD579" s="3"/>
    </row>
    <row r="580" spans="30:30" x14ac:dyDescent="0.2">
      <c r="AD580" s="3"/>
    </row>
    <row r="581" spans="30:30" x14ac:dyDescent="0.2">
      <c r="AD581" s="3"/>
    </row>
    <row r="582" spans="30:30" x14ac:dyDescent="0.2">
      <c r="AD582" s="3"/>
    </row>
    <row r="583" spans="30:30" x14ac:dyDescent="0.2">
      <c r="AD583" s="3"/>
    </row>
    <row r="584" spans="30:30" x14ac:dyDescent="0.2">
      <c r="AD584" s="3"/>
    </row>
    <row r="585" spans="30:30" x14ac:dyDescent="0.2">
      <c r="AD585" s="3"/>
    </row>
    <row r="586" spans="30:30" x14ac:dyDescent="0.2">
      <c r="AD586" s="3"/>
    </row>
    <row r="587" spans="30:30" x14ac:dyDescent="0.2">
      <c r="AD587" s="3"/>
    </row>
    <row r="588" spans="30:30" x14ac:dyDescent="0.2">
      <c r="AD588" s="3"/>
    </row>
    <row r="589" spans="30:30" x14ac:dyDescent="0.2">
      <c r="AD589" s="3"/>
    </row>
    <row r="590" spans="30:30" x14ac:dyDescent="0.2">
      <c r="AD590" s="3"/>
    </row>
    <row r="591" spans="30:30" x14ac:dyDescent="0.2">
      <c r="AD591" s="3"/>
    </row>
    <row r="592" spans="30:30" x14ac:dyDescent="0.2">
      <c r="AD592" s="3"/>
    </row>
    <row r="593" spans="30:30" x14ac:dyDescent="0.2">
      <c r="AD593" s="3"/>
    </row>
    <row r="594" spans="30:30" x14ac:dyDescent="0.2">
      <c r="AD594" s="3"/>
    </row>
    <row r="595" spans="30:30" x14ac:dyDescent="0.2">
      <c r="AD595" s="3"/>
    </row>
    <row r="596" spans="30:30" x14ac:dyDescent="0.2">
      <c r="AD596" s="3"/>
    </row>
    <row r="597" spans="30:30" x14ac:dyDescent="0.2">
      <c r="AD597" s="3"/>
    </row>
    <row r="598" spans="30:30" x14ac:dyDescent="0.2">
      <c r="AD598" s="3"/>
    </row>
    <row r="599" spans="30:30" x14ac:dyDescent="0.2">
      <c r="AD599" s="3"/>
    </row>
    <row r="600" spans="30:30" x14ac:dyDescent="0.2">
      <c r="AD600" s="3"/>
    </row>
    <row r="601" spans="30:30" x14ac:dyDescent="0.2">
      <c r="AD601" s="3"/>
    </row>
    <row r="602" spans="30:30" x14ac:dyDescent="0.2">
      <c r="AD602" s="3"/>
    </row>
    <row r="603" spans="30:30" x14ac:dyDescent="0.2">
      <c r="AD603" s="3"/>
    </row>
    <row r="604" spans="30:30" x14ac:dyDescent="0.2">
      <c r="AD604" s="3"/>
    </row>
    <row r="605" spans="30:30" x14ac:dyDescent="0.2">
      <c r="AD605" s="3"/>
    </row>
    <row r="606" spans="30:30" x14ac:dyDescent="0.2">
      <c r="AD606" s="3"/>
    </row>
    <row r="607" spans="30:30" x14ac:dyDescent="0.2">
      <c r="AD607" s="3"/>
    </row>
    <row r="608" spans="30:30" x14ac:dyDescent="0.2">
      <c r="AD608" s="3"/>
    </row>
    <row r="609" spans="30:30" x14ac:dyDescent="0.2">
      <c r="AD609" s="3"/>
    </row>
    <row r="610" spans="30:30" x14ac:dyDescent="0.2">
      <c r="AD610" s="3"/>
    </row>
    <row r="611" spans="30:30" x14ac:dyDescent="0.2">
      <c r="AD611" s="3"/>
    </row>
    <row r="612" spans="30:30" x14ac:dyDescent="0.2">
      <c r="AD612" s="3"/>
    </row>
    <row r="613" spans="30:30" x14ac:dyDescent="0.2">
      <c r="AD613" s="3"/>
    </row>
    <row r="614" spans="30:30" x14ac:dyDescent="0.2">
      <c r="AD614" s="3"/>
    </row>
    <row r="615" spans="30:30" x14ac:dyDescent="0.2">
      <c r="AD615" s="3"/>
    </row>
    <row r="616" spans="30:30" x14ac:dyDescent="0.2">
      <c r="AD616" s="3"/>
    </row>
    <row r="617" spans="30:30" x14ac:dyDescent="0.2">
      <c r="AD617" s="3"/>
    </row>
    <row r="618" spans="30:30" x14ac:dyDescent="0.2">
      <c r="AD618" s="3"/>
    </row>
    <row r="619" spans="30:30" x14ac:dyDescent="0.2">
      <c r="AD619" s="3"/>
    </row>
    <row r="620" spans="30:30" x14ac:dyDescent="0.2">
      <c r="AD620" s="3"/>
    </row>
    <row r="621" spans="30:30" x14ac:dyDescent="0.2">
      <c r="AD621" s="3"/>
    </row>
    <row r="622" spans="30:30" x14ac:dyDescent="0.2">
      <c r="AD622" s="3"/>
    </row>
    <row r="623" spans="30:30" x14ac:dyDescent="0.2">
      <c r="AD623" s="3"/>
    </row>
    <row r="624" spans="30:30" x14ac:dyDescent="0.2">
      <c r="AD624" s="3"/>
    </row>
    <row r="625" spans="30:30" x14ac:dyDescent="0.2">
      <c r="AD625" s="3"/>
    </row>
    <row r="626" spans="30:30" x14ac:dyDescent="0.2">
      <c r="AD626" s="3"/>
    </row>
    <row r="627" spans="30:30" x14ac:dyDescent="0.2">
      <c r="AD627" s="3"/>
    </row>
    <row r="628" spans="30:30" x14ac:dyDescent="0.2">
      <c r="AD628" s="3"/>
    </row>
    <row r="629" spans="30:30" x14ac:dyDescent="0.2">
      <c r="AD629" s="3"/>
    </row>
    <row r="630" spans="30:30" x14ac:dyDescent="0.2">
      <c r="AD630" s="3"/>
    </row>
    <row r="631" spans="30:30" x14ac:dyDescent="0.2">
      <c r="AD631" s="3"/>
    </row>
    <row r="632" spans="30:30" x14ac:dyDescent="0.2">
      <c r="AD632" s="3"/>
    </row>
    <row r="633" spans="30:30" x14ac:dyDescent="0.2">
      <c r="AD633" s="3"/>
    </row>
    <row r="634" spans="30:30" x14ac:dyDescent="0.2">
      <c r="AD634" s="3"/>
    </row>
    <row r="635" spans="30:30" x14ac:dyDescent="0.2">
      <c r="AD635" s="3"/>
    </row>
    <row r="636" spans="30:30" x14ac:dyDescent="0.2">
      <c r="AD636" s="3"/>
    </row>
    <row r="637" spans="30:30" x14ac:dyDescent="0.2">
      <c r="AD637" s="3"/>
    </row>
    <row r="638" spans="30:30" x14ac:dyDescent="0.2">
      <c r="AD638" s="3"/>
    </row>
    <row r="639" spans="30:30" x14ac:dyDescent="0.2">
      <c r="AD639" s="3"/>
    </row>
    <row r="640" spans="30:30" x14ac:dyDescent="0.2">
      <c r="AD640" s="3"/>
    </row>
    <row r="641" spans="30:30" x14ac:dyDescent="0.2">
      <c r="AD641" s="3"/>
    </row>
    <row r="642" spans="30:30" x14ac:dyDescent="0.2">
      <c r="AD642" s="3"/>
    </row>
    <row r="643" spans="30:30" x14ac:dyDescent="0.2">
      <c r="AD643" s="3"/>
    </row>
    <row r="644" spans="30:30" x14ac:dyDescent="0.2">
      <c r="AD644" s="3"/>
    </row>
    <row r="645" spans="30:30" x14ac:dyDescent="0.2">
      <c r="AD645" s="3"/>
    </row>
    <row r="646" spans="30:30" x14ac:dyDescent="0.2">
      <c r="AD646" s="3"/>
    </row>
    <row r="647" spans="30:30" x14ac:dyDescent="0.2">
      <c r="AD647" s="3"/>
    </row>
    <row r="648" spans="30:30" x14ac:dyDescent="0.2">
      <c r="AD648" s="3"/>
    </row>
    <row r="649" spans="30:30" x14ac:dyDescent="0.2">
      <c r="AD649" s="3"/>
    </row>
    <row r="650" spans="30:30" x14ac:dyDescent="0.2">
      <c r="AD650" s="3"/>
    </row>
    <row r="651" spans="30:30" x14ac:dyDescent="0.2">
      <c r="AD651" s="3"/>
    </row>
    <row r="652" spans="30:30" x14ac:dyDescent="0.2">
      <c r="AD652" s="3"/>
    </row>
    <row r="653" spans="30:30" x14ac:dyDescent="0.2">
      <c r="AD653" s="3"/>
    </row>
    <row r="654" spans="30:30" x14ac:dyDescent="0.2">
      <c r="AD654" s="3"/>
    </row>
    <row r="655" spans="30:30" x14ac:dyDescent="0.2">
      <c r="AD655" s="3"/>
    </row>
    <row r="656" spans="30:30" x14ac:dyDescent="0.2">
      <c r="AD656" s="3"/>
    </row>
    <row r="657" spans="30:30" x14ac:dyDescent="0.2">
      <c r="AD657" s="3"/>
    </row>
    <row r="658" spans="30:30" x14ac:dyDescent="0.2">
      <c r="AD658" s="3"/>
    </row>
    <row r="659" spans="30:30" x14ac:dyDescent="0.2">
      <c r="AD659" s="3"/>
    </row>
    <row r="660" spans="30:30" x14ac:dyDescent="0.2">
      <c r="AD660" s="3"/>
    </row>
    <row r="661" spans="30:30" x14ac:dyDescent="0.2">
      <c r="AD661" s="3"/>
    </row>
    <row r="662" spans="30:30" x14ac:dyDescent="0.2">
      <c r="AD662" s="3"/>
    </row>
    <row r="663" spans="30:30" x14ac:dyDescent="0.2">
      <c r="AD663" s="3"/>
    </row>
    <row r="664" spans="30:30" x14ac:dyDescent="0.2">
      <c r="AD664" s="3"/>
    </row>
    <row r="665" spans="30:30" x14ac:dyDescent="0.2">
      <c r="AD665" s="3"/>
    </row>
    <row r="666" spans="30:30" x14ac:dyDescent="0.2">
      <c r="AD666" s="3"/>
    </row>
    <row r="667" spans="30:30" x14ac:dyDescent="0.2">
      <c r="AD667" s="3"/>
    </row>
    <row r="668" spans="30:30" x14ac:dyDescent="0.2">
      <c r="AD668" s="3"/>
    </row>
    <row r="669" spans="30:30" x14ac:dyDescent="0.2">
      <c r="AD669" s="3"/>
    </row>
    <row r="670" spans="30:30" x14ac:dyDescent="0.2">
      <c r="AD670" s="3"/>
    </row>
    <row r="671" spans="30:30" x14ac:dyDescent="0.2">
      <c r="AD671" s="3"/>
    </row>
    <row r="672" spans="30:30" x14ac:dyDescent="0.2">
      <c r="AD672" s="3"/>
    </row>
    <row r="673" spans="30:30" x14ac:dyDescent="0.2">
      <c r="AD673" s="3"/>
    </row>
    <row r="674" spans="30:30" x14ac:dyDescent="0.2">
      <c r="AD674" s="3"/>
    </row>
    <row r="675" spans="30:30" x14ac:dyDescent="0.2">
      <c r="AD675" s="3"/>
    </row>
    <row r="676" spans="30:30" x14ac:dyDescent="0.2">
      <c r="AD676" s="3"/>
    </row>
    <row r="677" spans="30:30" x14ac:dyDescent="0.2">
      <c r="AD677" s="3"/>
    </row>
    <row r="678" spans="30:30" x14ac:dyDescent="0.2">
      <c r="AD678" s="3"/>
    </row>
    <row r="679" spans="30:30" x14ac:dyDescent="0.2">
      <c r="AD679" s="3"/>
    </row>
    <row r="680" spans="30:30" x14ac:dyDescent="0.2">
      <c r="AD680" s="3"/>
    </row>
    <row r="681" spans="30:30" x14ac:dyDescent="0.2">
      <c r="AD681" s="3"/>
    </row>
    <row r="682" spans="30:30" x14ac:dyDescent="0.2">
      <c r="AD682" s="3"/>
    </row>
    <row r="683" spans="30:30" x14ac:dyDescent="0.2">
      <c r="AD683" s="3"/>
    </row>
    <row r="684" spans="30:30" x14ac:dyDescent="0.2">
      <c r="AD684" s="3"/>
    </row>
    <row r="685" spans="30:30" x14ac:dyDescent="0.2">
      <c r="AD685" s="3"/>
    </row>
    <row r="686" spans="30:30" x14ac:dyDescent="0.2">
      <c r="AD686" s="3"/>
    </row>
    <row r="687" spans="30:30" x14ac:dyDescent="0.2">
      <c r="AD687" s="3"/>
    </row>
    <row r="688" spans="30:30" x14ac:dyDescent="0.2">
      <c r="AD688" s="3"/>
    </row>
    <row r="689" spans="30:30" x14ac:dyDescent="0.2">
      <c r="AD689" s="3"/>
    </row>
    <row r="690" spans="30:30" x14ac:dyDescent="0.2">
      <c r="AD690" s="3"/>
    </row>
    <row r="691" spans="30:30" x14ac:dyDescent="0.2">
      <c r="AD691" s="3"/>
    </row>
    <row r="692" spans="30:30" x14ac:dyDescent="0.2">
      <c r="AD692" s="3"/>
    </row>
    <row r="693" spans="30:30" x14ac:dyDescent="0.2">
      <c r="AD693" s="3"/>
    </row>
    <row r="694" spans="30:30" x14ac:dyDescent="0.2">
      <c r="AD694" s="3"/>
    </row>
    <row r="695" spans="30:30" x14ac:dyDescent="0.2">
      <c r="AD695" s="3"/>
    </row>
    <row r="696" spans="30:30" x14ac:dyDescent="0.2">
      <c r="AD696" s="3"/>
    </row>
    <row r="697" spans="30:30" x14ac:dyDescent="0.2">
      <c r="AD697" s="3"/>
    </row>
    <row r="698" spans="30:30" x14ac:dyDescent="0.2">
      <c r="AD698" s="3"/>
    </row>
    <row r="699" spans="30:30" x14ac:dyDescent="0.2">
      <c r="AD699" s="3"/>
    </row>
    <row r="700" spans="30:30" x14ac:dyDescent="0.2">
      <c r="AD700" s="3"/>
    </row>
    <row r="701" spans="30:30" x14ac:dyDescent="0.2">
      <c r="AD701" s="3"/>
    </row>
    <row r="702" spans="30:30" x14ac:dyDescent="0.2">
      <c r="AD702" s="3"/>
    </row>
    <row r="703" spans="30:30" x14ac:dyDescent="0.2">
      <c r="AD703" s="3"/>
    </row>
    <row r="704" spans="30:30" x14ac:dyDescent="0.2">
      <c r="AD704" s="3"/>
    </row>
    <row r="705" spans="30:30" x14ac:dyDescent="0.2">
      <c r="AD705" s="3"/>
    </row>
    <row r="706" spans="30:30" x14ac:dyDescent="0.2">
      <c r="AD706" s="3"/>
    </row>
    <row r="707" spans="30:30" x14ac:dyDescent="0.2">
      <c r="AD707" s="3"/>
    </row>
    <row r="708" spans="30:30" x14ac:dyDescent="0.2">
      <c r="AD708" s="3"/>
    </row>
    <row r="709" spans="30:30" x14ac:dyDescent="0.2">
      <c r="AD709" s="3"/>
    </row>
    <row r="710" spans="30:30" x14ac:dyDescent="0.2">
      <c r="AD710" s="3"/>
    </row>
    <row r="711" spans="30:30" x14ac:dyDescent="0.2">
      <c r="AD711" s="3"/>
    </row>
    <row r="712" spans="30:30" x14ac:dyDescent="0.2">
      <c r="AD712" s="3"/>
    </row>
    <row r="713" spans="30:30" x14ac:dyDescent="0.2">
      <c r="AD713" s="3"/>
    </row>
    <row r="714" spans="30:30" x14ac:dyDescent="0.2">
      <c r="AD714" s="3"/>
    </row>
    <row r="715" spans="30:30" x14ac:dyDescent="0.2">
      <c r="AD715" s="3"/>
    </row>
    <row r="716" spans="30:30" x14ac:dyDescent="0.2">
      <c r="AD716" s="3"/>
    </row>
    <row r="717" spans="30:30" x14ac:dyDescent="0.2">
      <c r="AD717" s="3"/>
    </row>
    <row r="718" spans="30:30" x14ac:dyDescent="0.2">
      <c r="AD718" s="3"/>
    </row>
    <row r="719" spans="30:30" x14ac:dyDescent="0.2">
      <c r="AD719" s="3"/>
    </row>
    <row r="720" spans="30:30" x14ac:dyDescent="0.2">
      <c r="AD720" s="3"/>
    </row>
    <row r="721" spans="30:30" x14ac:dyDescent="0.2">
      <c r="AD721" s="3"/>
    </row>
    <row r="722" spans="30:30" x14ac:dyDescent="0.2">
      <c r="AD722" s="3"/>
    </row>
    <row r="723" spans="30:30" x14ac:dyDescent="0.2">
      <c r="AD723" s="3"/>
    </row>
    <row r="724" spans="30:30" x14ac:dyDescent="0.2">
      <c r="AD724" s="3"/>
    </row>
    <row r="725" spans="30:30" x14ac:dyDescent="0.2">
      <c r="AD725" s="3"/>
    </row>
    <row r="726" spans="30:30" x14ac:dyDescent="0.2">
      <c r="AD726" s="3"/>
    </row>
    <row r="727" spans="30:30" x14ac:dyDescent="0.2">
      <c r="AD727" s="3"/>
    </row>
    <row r="728" spans="30:30" x14ac:dyDescent="0.2">
      <c r="AD728" s="3"/>
    </row>
    <row r="729" spans="30:30" x14ac:dyDescent="0.2">
      <c r="AD729" s="3"/>
    </row>
    <row r="730" spans="30:30" x14ac:dyDescent="0.2">
      <c r="AD730" s="3"/>
    </row>
    <row r="731" spans="30:30" x14ac:dyDescent="0.2">
      <c r="AD731" s="3"/>
    </row>
    <row r="732" spans="30:30" x14ac:dyDescent="0.2">
      <c r="AD732" s="3"/>
    </row>
    <row r="733" spans="30:30" x14ac:dyDescent="0.2">
      <c r="AD733" s="3"/>
    </row>
    <row r="734" spans="30:30" x14ac:dyDescent="0.2">
      <c r="AD734" s="3"/>
    </row>
    <row r="735" spans="30:30" x14ac:dyDescent="0.2">
      <c r="AD735" s="3"/>
    </row>
    <row r="736" spans="30:30" x14ac:dyDescent="0.2">
      <c r="AD736" s="3"/>
    </row>
    <row r="737" spans="30:30" x14ac:dyDescent="0.2">
      <c r="AD737" s="3"/>
    </row>
    <row r="738" spans="30:30" x14ac:dyDescent="0.2">
      <c r="AD738" s="3"/>
    </row>
    <row r="739" spans="30:30" x14ac:dyDescent="0.2">
      <c r="AD739" s="3"/>
    </row>
    <row r="740" spans="30:30" x14ac:dyDescent="0.2">
      <c r="AD740" s="3"/>
    </row>
    <row r="741" spans="30:30" x14ac:dyDescent="0.2">
      <c r="AD741" s="3"/>
    </row>
    <row r="742" spans="30:30" x14ac:dyDescent="0.2">
      <c r="AD742" s="3"/>
    </row>
    <row r="743" spans="30:30" x14ac:dyDescent="0.2">
      <c r="AD743" s="3"/>
    </row>
    <row r="744" spans="30:30" x14ac:dyDescent="0.2">
      <c r="AD744" s="3"/>
    </row>
    <row r="745" spans="30:30" x14ac:dyDescent="0.2">
      <c r="AD745" s="3"/>
    </row>
    <row r="746" spans="30:30" x14ac:dyDescent="0.2">
      <c r="AD746" s="3"/>
    </row>
    <row r="747" spans="30:30" x14ac:dyDescent="0.2">
      <c r="AD747" s="3"/>
    </row>
    <row r="748" spans="30:30" x14ac:dyDescent="0.2">
      <c r="AD748" s="3"/>
    </row>
    <row r="749" spans="30:30" x14ac:dyDescent="0.2">
      <c r="AD749" s="3"/>
    </row>
    <row r="750" spans="30:30" x14ac:dyDescent="0.2">
      <c r="AD750" s="3"/>
    </row>
    <row r="751" spans="30:30" x14ac:dyDescent="0.2">
      <c r="AD751" s="3"/>
    </row>
    <row r="752" spans="30:30" x14ac:dyDescent="0.2">
      <c r="AD752" s="3"/>
    </row>
    <row r="753" spans="30:30" x14ac:dyDescent="0.2">
      <c r="AD753" s="3"/>
    </row>
    <row r="754" spans="30:30" x14ac:dyDescent="0.2">
      <c r="AD754" s="3"/>
    </row>
    <row r="755" spans="30:30" x14ac:dyDescent="0.2">
      <c r="AD755" s="3"/>
    </row>
    <row r="756" spans="30:30" x14ac:dyDescent="0.2">
      <c r="AD756" s="3"/>
    </row>
    <row r="757" spans="30:30" x14ac:dyDescent="0.2">
      <c r="AD757" s="3"/>
    </row>
    <row r="758" spans="30:30" x14ac:dyDescent="0.2">
      <c r="AD758" s="3"/>
    </row>
    <row r="759" spans="30:30" x14ac:dyDescent="0.2">
      <c r="AD759" s="3"/>
    </row>
    <row r="760" spans="30:30" x14ac:dyDescent="0.2">
      <c r="AD760" s="3"/>
    </row>
    <row r="761" spans="30:30" x14ac:dyDescent="0.2">
      <c r="AD761" s="3"/>
    </row>
    <row r="762" spans="30:30" x14ac:dyDescent="0.2">
      <c r="AD762" s="3"/>
    </row>
    <row r="763" spans="30:30" x14ac:dyDescent="0.2">
      <c r="AD763" s="3"/>
    </row>
    <row r="764" spans="30:30" x14ac:dyDescent="0.2">
      <c r="AD764" s="3"/>
    </row>
    <row r="765" spans="30:30" x14ac:dyDescent="0.2">
      <c r="AD765" s="3"/>
    </row>
    <row r="766" spans="30:30" x14ac:dyDescent="0.2">
      <c r="AD766" s="3"/>
    </row>
    <row r="767" spans="30:30" x14ac:dyDescent="0.2">
      <c r="AD767" s="3"/>
    </row>
    <row r="768" spans="30:30" x14ac:dyDescent="0.2">
      <c r="AD768" s="3"/>
    </row>
    <row r="769" spans="30:30" x14ac:dyDescent="0.2">
      <c r="AD769" s="3"/>
    </row>
    <row r="770" spans="30:30" x14ac:dyDescent="0.2">
      <c r="AD770" s="3"/>
    </row>
    <row r="771" spans="30:30" x14ac:dyDescent="0.2">
      <c r="AD771" s="3"/>
    </row>
    <row r="772" spans="30:30" x14ac:dyDescent="0.2">
      <c r="AD772" s="3"/>
    </row>
    <row r="773" spans="30:30" x14ac:dyDescent="0.2">
      <c r="AD773" s="3"/>
    </row>
    <row r="774" spans="30:30" x14ac:dyDescent="0.2">
      <c r="AD774" s="3"/>
    </row>
    <row r="775" spans="30:30" x14ac:dyDescent="0.2">
      <c r="AD775" s="3"/>
    </row>
    <row r="776" spans="30:30" x14ac:dyDescent="0.2">
      <c r="AD776" s="3"/>
    </row>
    <row r="777" spans="30:30" x14ac:dyDescent="0.2">
      <c r="AD777" s="3"/>
    </row>
    <row r="778" spans="30:30" x14ac:dyDescent="0.2">
      <c r="AD778" s="3"/>
    </row>
    <row r="779" spans="30:30" x14ac:dyDescent="0.2">
      <c r="AD779" s="3"/>
    </row>
    <row r="780" spans="30:30" x14ac:dyDescent="0.2">
      <c r="AD780" s="3"/>
    </row>
    <row r="781" spans="30:30" x14ac:dyDescent="0.2">
      <c r="AD781" s="3"/>
    </row>
    <row r="782" spans="30:30" x14ac:dyDescent="0.2">
      <c r="AD782" s="3"/>
    </row>
    <row r="783" spans="30:30" x14ac:dyDescent="0.2">
      <c r="AD783" s="3"/>
    </row>
    <row r="784" spans="30:30" x14ac:dyDescent="0.2">
      <c r="AD784" s="3"/>
    </row>
    <row r="785" spans="30:30" x14ac:dyDescent="0.2">
      <c r="AD785" s="3"/>
    </row>
    <row r="786" spans="30:30" x14ac:dyDescent="0.2">
      <c r="AD786" s="3"/>
    </row>
    <row r="787" spans="30:30" x14ac:dyDescent="0.2">
      <c r="AD787" s="3"/>
    </row>
    <row r="788" spans="30:30" x14ac:dyDescent="0.2">
      <c r="AD788" s="3"/>
    </row>
    <row r="789" spans="30:30" x14ac:dyDescent="0.2">
      <c r="AD789" s="3"/>
    </row>
    <row r="790" spans="30:30" x14ac:dyDescent="0.2">
      <c r="AD790" s="3"/>
    </row>
    <row r="791" spans="30:30" x14ac:dyDescent="0.2">
      <c r="AD791" s="3"/>
    </row>
    <row r="792" spans="30:30" x14ac:dyDescent="0.2">
      <c r="AD792" s="3"/>
    </row>
    <row r="793" spans="30:30" x14ac:dyDescent="0.2">
      <c r="AD793" s="3"/>
    </row>
    <row r="794" spans="30:30" x14ac:dyDescent="0.2">
      <c r="AD794" s="3"/>
    </row>
    <row r="795" spans="30:30" x14ac:dyDescent="0.2">
      <c r="AD795" s="3"/>
    </row>
    <row r="796" spans="30:30" x14ac:dyDescent="0.2">
      <c r="AD796" s="3"/>
    </row>
    <row r="797" spans="30:30" x14ac:dyDescent="0.2">
      <c r="AD797" s="3"/>
    </row>
    <row r="798" spans="30:30" x14ac:dyDescent="0.2">
      <c r="AD798" s="3"/>
    </row>
    <row r="799" spans="30:30" x14ac:dyDescent="0.2">
      <c r="AD799" s="3"/>
    </row>
    <row r="800" spans="30:30" x14ac:dyDescent="0.2">
      <c r="AD800" s="3"/>
    </row>
    <row r="801" spans="30:30" x14ac:dyDescent="0.2">
      <c r="AD801" s="3"/>
    </row>
    <row r="802" spans="30:30" x14ac:dyDescent="0.2">
      <c r="AD802" s="3"/>
    </row>
    <row r="803" spans="30:30" x14ac:dyDescent="0.2">
      <c r="AD803" s="3"/>
    </row>
    <row r="804" spans="30:30" x14ac:dyDescent="0.2">
      <c r="AD804" s="3"/>
    </row>
    <row r="805" spans="30:30" x14ac:dyDescent="0.2">
      <c r="AD805" s="3"/>
    </row>
    <row r="806" spans="30:30" x14ac:dyDescent="0.2">
      <c r="AD806" s="3"/>
    </row>
    <row r="807" spans="30:30" x14ac:dyDescent="0.2">
      <c r="AD807" s="3"/>
    </row>
    <row r="808" spans="30:30" x14ac:dyDescent="0.2">
      <c r="AD808" s="3"/>
    </row>
    <row r="809" spans="30:30" x14ac:dyDescent="0.2">
      <c r="AD809" s="3"/>
    </row>
    <row r="810" spans="30:30" x14ac:dyDescent="0.2">
      <c r="AD810" s="3"/>
    </row>
    <row r="811" spans="30:30" x14ac:dyDescent="0.2">
      <c r="AD811" s="3"/>
    </row>
    <row r="812" spans="30:30" x14ac:dyDescent="0.2">
      <c r="AD812" s="3"/>
    </row>
    <row r="813" spans="30:30" x14ac:dyDescent="0.2">
      <c r="AD813" s="3"/>
    </row>
    <row r="814" spans="30:30" x14ac:dyDescent="0.2">
      <c r="AD814" s="3"/>
    </row>
    <row r="815" spans="30:30" x14ac:dyDescent="0.2">
      <c r="AD815" s="3"/>
    </row>
    <row r="816" spans="30:30" x14ac:dyDescent="0.2">
      <c r="AD816" s="3"/>
    </row>
    <row r="817" spans="30:30" x14ac:dyDescent="0.2">
      <c r="AD817" s="3"/>
    </row>
    <row r="818" spans="30:30" x14ac:dyDescent="0.2">
      <c r="AD818" s="3"/>
    </row>
    <row r="819" spans="30:30" x14ac:dyDescent="0.2">
      <c r="AD819" s="3"/>
    </row>
    <row r="820" spans="30:30" x14ac:dyDescent="0.2">
      <c r="AD820" s="3"/>
    </row>
    <row r="821" spans="30:30" x14ac:dyDescent="0.2">
      <c r="AD821" s="3"/>
    </row>
    <row r="822" spans="30:30" x14ac:dyDescent="0.2">
      <c r="AD822" s="3"/>
    </row>
    <row r="823" spans="30:30" x14ac:dyDescent="0.2">
      <c r="AD823" s="3"/>
    </row>
    <row r="824" spans="30:30" x14ac:dyDescent="0.2">
      <c r="AD824" s="3"/>
    </row>
    <row r="825" spans="30:30" x14ac:dyDescent="0.2">
      <c r="AD825" s="3"/>
    </row>
    <row r="826" spans="30:30" x14ac:dyDescent="0.2">
      <c r="AD826" s="3"/>
    </row>
    <row r="827" spans="30:30" x14ac:dyDescent="0.2">
      <c r="AD827" s="3"/>
    </row>
    <row r="828" spans="30:30" x14ac:dyDescent="0.2">
      <c r="AD828" s="3"/>
    </row>
    <row r="829" spans="30:30" x14ac:dyDescent="0.2">
      <c r="AD829" s="3"/>
    </row>
    <row r="830" spans="30:30" x14ac:dyDescent="0.2">
      <c r="AD830" s="3"/>
    </row>
    <row r="831" spans="30:30" x14ac:dyDescent="0.2">
      <c r="AD831" s="3"/>
    </row>
    <row r="832" spans="30:30" x14ac:dyDescent="0.2">
      <c r="AD832" s="3"/>
    </row>
    <row r="833" spans="30:30" x14ac:dyDescent="0.2">
      <c r="AD833" s="3"/>
    </row>
    <row r="834" spans="30:30" x14ac:dyDescent="0.2">
      <c r="AD834" s="3"/>
    </row>
    <row r="835" spans="30:30" x14ac:dyDescent="0.2">
      <c r="AD835" s="3"/>
    </row>
    <row r="836" spans="30:30" x14ac:dyDescent="0.2">
      <c r="AD836" s="3"/>
    </row>
    <row r="837" spans="30:30" x14ac:dyDescent="0.2">
      <c r="AD837" s="3"/>
    </row>
    <row r="838" spans="30:30" x14ac:dyDescent="0.2">
      <c r="AD838" s="3"/>
    </row>
    <row r="839" spans="30:30" x14ac:dyDescent="0.2">
      <c r="AD839" s="3"/>
    </row>
    <row r="840" spans="30:30" x14ac:dyDescent="0.2">
      <c r="AD840" s="3"/>
    </row>
    <row r="841" spans="30:30" x14ac:dyDescent="0.2">
      <c r="AD841" s="3"/>
    </row>
    <row r="842" spans="30:30" x14ac:dyDescent="0.2">
      <c r="AD842" s="3"/>
    </row>
    <row r="843" spans="30:30" x14ac:dyDescent="0.2">
      <c r="AD843" s="3"/>
    </row>
    <row r="844" spans="30:30" x14ac:dyDescent="0.2">
      <c r="AD844" s="3"/>
    </row>
    <row r="845" spans="30:30" x14ac:dyDescent="0.2">
      <c r="AD845" s="3"/>
    </row>
    <row r="846" spans="30:30" x14ac:dyDescent="0.2">
      <c r="AD846" s="3"/>
    </row>
    <row r="847" spans="30:30" x14ac:dyDescent="0.2">
      <c r="AD847" s="3"/>
    </row>
    <row r="848" spans="30:30" x14ac:dyDescent="0.2">
      <c r="AD848" s="3"/>
    </row>
    <row r="849" spans="30:30" x14ac:dyDescent="0.2">
      <c r="AD849" s="3"/>
    </row>
    <row r="850" spans="30:30" x14ac:dyDescent="0.2">
      <c r="AD850" s="3"/>
    </row>
    <row r="851" spans="30:30" x14ac:dyDescent="0.2">
      <c r="AD851" s="3"/>
    </row>
    <row r="852" spans="30:30" x14ac:dyDescent="0.2">
      <c r="AD852" s="3"/>
    </row>
    <row r="853" spans="30:30" x14ac:dyDescent="0.2">
      <c r="AD853" s="3"/>
    </row>
    <row r="854" spans="30:30" x14ac:dyDescent="0.2">
      <c r="AD854" s="3"/>
    </row>
    <row r="855" spans="30:30" x14ac:dyDescent="0.2">
      <c r="AD855" s="3"/>
    </row>
    <row r="856" spans="30:30" x14ac:dyDescent="0.2">
      <c r="AD856" s="3"/>
    </row>
    <row r="857" spans="30:30" x14ac:dyDescent="0.2">
      <c r="AD857" s="3"/>
    </row>
    <row r="858" spans="30:30" x14ac:dyDescent="0.2">
      <c r="AD858" s="3"/>
    </row>
    <row r="859" spans="30:30" x14ac:dyDescent="0.2">
      <c r="AD859" s="3"/>
    </row>
    <row r="860" spans="30:30" x14ac:dyDescent="0.2">
      <c r="AD860" s="3"/>
    </row>
    <row r="861" spans="30:30" x14ac:dyDescent="0.2">
      <c r="AD861" s="3"/>
    </row>
    <row r="862" spans="30:30" x14ac:dyDescent="0.2">
      <c r="AD862" s="3"/>
    </row>
    <row r="863" spans="30:30" x14ac:dyDescent="0.2">
      <c r="AD863" s="3"/>
    </row>
    <row r="864" spans="30:30" x14ac:dyDescent="0.2">
      <c r="AD864" s="3"/>
    </row>
    <row r="865" spans="30:30" x14ac:dyDescent="0.2">
      <c r="AD865" s="3"/>
    </row>
    <row r="866" spans="30:30" x14ac:dyDescent="0.2">
      <c r="AD866" s="3"/>
    </row>
    <row r="867" spans="30:30" x14ac:dyDescent="0.2">
      <c r="AD867" s="3"/>
    </row>
    <row r="868" spans="30:30" x14ac:dyDescent="0.2">
      <c r="AD868" s="3"/>
    </row>
    <row r="869" spans="30:30" x14ac:dyDescent="0.2">
      <c r="AD869" s="3"/>
    </row>
    <row r="870" spans="30:30" x14ac:dyDescent="0.2">
      <c r="AD870" s="3"/>
    </row>
    <row r="871" spans="30:30" x14ac:dyDescent="0.2">
      <c r="AD871" s="3"/>
    </row>
    <row r="872" spans="30:30" x14ac:dyDescent="0.2">
      <c r="AD872" s="3"/>
    </row>
    <row r="873" spans="30:30" x14ac:dyDescent="0.2">
      <c r="AD873" s="3"/>
    </row>
    <row r="874" spans="30:30" x14ac:dyDescent="0.2">
      <c r="AD874" s="3"/>
    </row>
    <row r="875" spans="30:30" x14ac:dyDescent="0.2">
      <c r="AD875" s="3"/>
    </row>
    <row r="876" spans="30:30" x14ac:dyDescent="0.2">
      <c r="AD876" s="3"/>
    </row>
    <row r="877" spans="30:30" x14ac:dyDescent="0.2">
      <c r="AD877" s="3"/>
    </row>
    <row r="878" spans="30:30" x14ac:dyDescent="0.2">
      <c r="AD878" s="3"/>
    </row>
    <row r="879" spans="30:30" x14ac:dyDescent="0.2">
      <c r="AD879" s="3"/>
    </row>
    <row r="880" spans="30:30" x14ac:dyDescent="0.2">
      <c r="AD880" s="3"/>
    </row>
    <row r="881" spans="30:30" x14ac:dyDescent="0.2">
      <c r="AD881" s="3"/>
    </row>
    <row r="882" spans="30:30" x14ac:dyDescent="0.2">
      <c r="AD882" s="3"/>
    </row>
    <row r="883" spans="30:30" x14ac:dyDescent="0.2">
      <c r="AD883" s="3"/>
    </row>
    <row r="884" spans="30:30" x14ac:dyDescent="0.2">
      <c r="AD884" s="3"/>
    </row>
    <row r="885" spans="30:30" x14ac:dyDescent="0.2">
      <c r="AD885" s="3"/>
    </row>
    <row r="886" spans="30:30" x14ac:dyDescent="0.2">
      <c r="AD886" s="3"/>
    </row>
    <row r="887" spans="30:30" x14ac:dyDescent="0.2">
      <c r="AD887" s="3"/>
    </row>
    <row r="888" spans="30:30" x14ac:dyDescent="0.2">
      <c r="AD888" s="3"/>
    </row>
    <row r="889" spans="30:30" x14ac:dyDescent="0.2">
      <c r="AD889" s="3"/>
    </row>
    <row r="890" spans="30:30" x14ac:dyDescent="0.2">
      <c r="AD890" s="3"/>
    </row>
    <row r="891" spans="30:30" x14ac:dyDescent="0.2">
      <c r="AD891" s="3"/>
    </row>
    <row r="892" spans="30:30" x14ac:dyDescent="0.2">
      <c r="AD892" s="3"/>
    </row>
    <row r="893" spans="30:30" x14ac:dyDescent="0.2">
      <c r="AD893" s="3"/>
    </row>
    <row r="894" spans="30:30" x14ac:dyDescent="0.2">
      <c r="AD894" s="3"/>
    </row>
    <row r="895" spans="30:30" x14ac:dyDescent="0.2">
      <c r="AD895" s="3"/>
    </row>
    <row r="896" spans="30:30" x14ac:dyDescent="0.2">
      <c r="AD896" s="3"/>
    </row>
    <row r="897" spans="30:30" x14ac:dyDescent="0.2">
      <c r="AD897" s="3"/>
    </row>
    <row r="898" spans="30:30" x14ac:dyDescent="0.2">
      <c r="AD898" s="3"/>
    </row>
    <row r="899" spans="30:30" x14ac:dyDescent="0.2">
      <c r="AD899" s="3"/>
    </row>
    <row r="900" spans="30:30" x14ac:dyDescent="0.2">
      <c r="AD900" s="3"/>
    </row>
    <row r="901" spans="30:30" x14ac:dyDescent="0.2">
      <c r="AD901" s="3"/>
    </row>
    <row r="902" spans="30:30" x14ac:dyDescent="0.2">
      <c r="AD902" s="3"/>
    </row>
    <row r="903" spans="30:30" x14ac:dyDescent="0.2">
      <c r="AD903" s="3"/>
    </row>
    <row r="904" spans="30:30" x14ac:dyDescent="0.2">
      <c r="AD904" s="3"/>
    </row>
    <row r="905" spans="30:30" x14ac:dyDescent="0.2">
      <c r="AD905" s="3"/>
    </row>
    <row r="906" spans="30:30" x14ac:dyDescent="0.2">
      <c r="AD906" s="3"/>
    </row>
    <row r="907" spans="30:30" x14ac:dyDescent="0.2">
      <c r="AD907" s="3"/>
    </row>
    <row r="908" spans="30:30" x14ac:dyDescent="0.2">
      <c r="AD908" s="3"/>
    </row>
    <row r="909" spans="30:30" x14ac:dyDescent="0.2">
      <c r="AD909" s="3"/>
    </row>
    <row r="910" spans="30:30" x14ac:dyDescent="0.2">
      <c r="AD910" s="3"/>
    </row>
    <row r="911" spans="30:30" x14ac:dyDescent="0.2">
      <c r="AD911" s="3"/>
    </row>
    <row r="912" spans="30:30" x14ac:dyDescent="0.2">
      <c r="AD912" s="3"/>
    </row>
    <row r="913" spans="30:30" x14ac:dyDescent="0.2">
      <c r="AD913" s="3"/>
    </row>
    <row r="914" spans="30:30" x14ac:dyDescent="0.2">
      <c r="AD914" s="3"/>
    </row>
    <row r="915" spans="30:30" x14ac:dyDescent="0.2">
      <c r="AD915" s="3"/>
    </row>
    <row r="916" spans="30:30" x14ac:dyDescent="0.2">
      <c r="AD916" s="3"/>
    </row>
    <row r="917" spans="30:30" x14ac:dyDescent="0.2">
      <c r="AD917" s="3"/>
    </row>
    <row r="918" spans="30:30" x14ac:dyDescent="0.2">
      <c r="AD918" s="3"/>
    </row>
    <row r="919" spans="30:30" x14ac:dyDescent="0.2">
      <c r="AD919" s="3"/>
    </row>
    <row r="920" spans="30:30" x14ac:dyDescent="0.2">
      <c r="AD920" s="3"/>
    </row>
    <row r="921" spans="30:30" x14ac:dyDescent="0.2">
      <c r="AD921" s="3"/>
    </row>
    <row r="922" spans="30:30" x14ac:dyDescent="0.2">
      <c r="AD922" s="3"/>
    </row>
    <row r="923" spans="30:30" x14ac:dyDescent="0.2">
      <c r="AD923" s="3"/>
    </row>
    <row r="924" spans="30:30" x14ac:dyDescent="0.2">
      <c r="AD924" s="3"/>
    </row>
    <row r="925" spans="30:30" x14ac:dyDescent="0.2">
      <c r="AD925" s="3"/>
    </row>
    <row r="926" spans="30:30" x14ac:dyDescent="0.2">
      <c r="AD926" s="3"/>
    </row>
    <row r="927" spans="30:30" x14ac:dyDescent="0.2">
      <c r="AD927" s="3"/>
    </row>
    <row r="928" spans="30:30" x14ac:dyDescent="0.2">
      <c r="AD928" s="3"/>
    </row>
    <row r="929" spans="30:30" x14ac:dyDescent="0.2">
      <c r="AD929" s="3"/>
    </row>
    <row r="930" spans="30:30" x14ac:dyDescent="0.2">
      <c r="AD930" s="3"/>
    </row>
    <row r="931" spans="30:30" x14ac:dyDescent="0.2">
      <c r="AD931" s="3"/>
    </row>
    <row r="932" spans="30:30" x14ac:dyDescent="0.2">
      <c r="AD932" s="3"/>
    </row>
    <row r="933" spans="30:30" x14ac:dyDescent="0.2">
      <c r="AD933" s="3"/>
    </row>
    <row r="934" spans="30:30" x14ac:dyDescent="0.2">
      <c r="AD934" s="3"/>
    </row>
    <row r="935" spans="30:30" x14ac:dyDescent="0.2">
      <c r="AD935" s="3"/>
    </row>
    <row r="936" spans="30:30" x14ac:dyDescent="0.2">
      <c r="AD936" s="3"/>
    </row>
    <row r="937" spans="30:30" x14ac:dyDescent="0.2">
      <c r="AD937" s="3"/>
    </row>
    <row r="938" spans="30:30" x14ac:dyDescent="0.2">
      <c r="AD938" s="3"/>
    </row>
    <row r="939" spans="30:30" x14ac:dyDescent="0.2">
      <c r="AD939" s="3"/>
    </row>
    <row r="940" spans="30:30" x14ac:dyDescent="0.2">
      <c r="AD940" s="3"/>
    </row>
    <row r="941" spans="30:30" x14ac:dyDescent="0.2">
      <c r="AD941" s="3"/>
    </row>
    <row r="942" spans="30:30" x14ac:dyDescent="0.2">
      <c r="AD942" s="3"/>
    </row>
    <row r="943" spans="30:30" x14ac:dyDescent="0.2">
      <c r="AD943" s="3"/>
    </row>
    <row r="944" spans="30:30" x14ac:dyDescent="0.2">
      <c r="AD944" s="3"/>
    </row>
    <row r="945" spans="30:30" x14ac:dyDescent="0.2">
      <c r="AD945" s="3"/>
    </row>
    <row r="946" spans="30:30" x14ac:dyDescent="0.2">
      <c r="AD946" s="3"/>
    </row>
    <row r="947" spans="30:30" x14ac:dyDescent="0.2">
      <c r="AD947" s="3"/>
    </row>
    <row r="948" spans="30:30" x14ac:dyDescent="0.2">
      <c r="AD948" s="3"/>
    </row>
    <row r="949" spans="30:30" x14ac:dyDescent="0.2">
      <c r="AD949" s="3"/>
    </row>
    <row r="950" spans="30:30" x14ac:dyDescent="0.2">
      <c r="AD950" s="3"/>
    </row>
    <row r="951" spans="30:30" x14ac:dyDescent="0.2">
      <c r="AD951" s="3"/>
    </row>
    <row r="952" spans="30:30" x14ac:dyDescent="0.2">
      <c r="AD952" s="3"/>
    </row>
    <row r="953" spans="30:30" x14ac:dyDescent="0.2">
      <c r="AD953" s="3"/>
    </row>
    <row r="954" spans="30:30" x14ac:dyDescent="0.2">
      <c r="AD954" s="3"/>
    </row>
    <row r="955" spans="30:30" x14ac:dyDescent="0.2">
      <c r="AD955" s="3"/>
    </row>
    <row r="956" spans="30:30" x14ac:dyDescent="0.2">
      <c r="AD956" s="3"/>
    </row>
    <row r="957" spans="30:30" x14ac:dyDescent="0.2">
      <c r="AD957" s="3"/>
    </row>
    <row r="958" spans="30:30" x14ac:dyDescent="0.2">
      <c r="AD958" s="3"/>
    </row>
    <row r="959" spans="30:30" x14ac:dyDescent="0.2">
      <c r="AD959" s="3"/>
    </row>
    <row r="960" spans="30:30" x14ac:dyDescent="0.2">
      <c r="AD960" s="3"/>
    </row>
    <row r="961" spans="30:30" x14ac:dyDescent="0.2">
      <c r="AD961" s="3"/>
    </row>
    <row r="962" spans="30:30" x14ac:dyDescent="0.2">
      <c r="AD962" s="3"/>
    </row>
    <row r="963" spans="30:30" x14ac:dyDescent="0.2">
      <c r="AD963" s="3"/>
    </row>
    <row r="964" spans="30:30" x14ac:dyDescent="0.2">
      <c r="AD964" s="3"/>
    </row>
    <row r="965" spans="30:30" x14ac:dyDescent="0.2">
      <c r="AD965" s="3"/>
    </row>
    <row r="966" spans="30:30" x14ac:dyDescent="0.2">
      <c r="AD966" s="3"/>
    </row>
    <row r="967" spans="30:30" x14ac:dyDescent="0.2">
      <c r="AD967" s="3"/>
    </row>
    <row r="968" spans="30:30" x14ac:dyDescent="0.2">
      <c r="AD968" s="3"/>
    </row>
    <row r="969" spans="30:30" x14ac:dyDescent="0.2">
      <c r="AD969" s="3"/>
    </row>
    <row r="970" spans="30:30" x14ac:dyDescent="0.2">
      <c r="AD970" s="3"/>
    </row>
    <row r="971" spans="30:30" x14ac:dyDescent="0.2">
      <c r="AD971" s="3"/>
    </row>
    <row r="972" spans="30:30" x14ac:dyDescent="0.2">
      <c r="AD972" s="3"/>
    </row>
    <row r="973" spans="30:30" x14ac:dyDescent="0.2">
      <c r="AD973" s="3"/>
    </row>
    <row r="974" spans="30:30" x14ac:dyDescent="0.2">
      <c r="AD974" s="3"/>
    </row>
    <row r="975" spans="30:30" x14ac:dyDescent="0.2">
      <c r="AD975" s="3"/>
    </row>
    <row r="976" spans="30:30" x14ac:dyDescent="0.2">
      <c r="AD976" s="3"/>
    </row>
    <row r="977" spans="30:30" x14ac:dyDescent="0.2">
      <c r="AD977" s="3"/>
    </row>
    <row r="978" spans="30:30" x14ac:dyDescent="0.2">
      <c r="AD978" s="3"/>
    </row>
    <row r="979" spans="30:30" x14ac:dyDescent="0.2">
      <c r="AD979" s="3"/>
    </row>
    <row r="980" spans="30:30" x14ac:dyDescent="0.2">
      <c r="AD980" s="3"/>
    </row>
    <row r="981" spans="30:30" x14ac:dyDescent="0.2">
      <c r="AD981" s="3"/>
    </row>
    <row r="982" spans="30:30" x14ac:dyDescent="0.2">
      <c r="AD982" s="3"/>
    </row>
    <row r="983" spans="30:30" x14ac:dyDescent="0.2">
      <c r="AD983" s="3"/>
    </row>
    <row r="984" spans="30:30" x14ac:dyDescent="0.2">
      <c r="AD984" s="3"/>
    </row>
    <row r="985" spans="30:30" x14ac:dyDescent="0.2">
      <c r="AD985" s="3"/>
    </row>
    <row r="986" spans="30:30" x14ac:dyDescent="0.2">
      <c r="AD986" s="3"/>
    </row>
    <row r="987" spans="30:30" x14ac:dyDescent="0.2">
      <c r="AD987" s="3"/>
    </row>
    <row r="988" spans="30:30" x14ac:dyDescent="0.2">
      <c r="AD988" s="3"/>
    </row>
    <row r="989" spans="30:30" x14ac:dyDescent="0.2">
      <c r="AD989" s="3"/>
    </row>
    <row r="990" spans="30:30" x14ac:dyDescent="0.2">
      <c r="AD990" s="3"/>
    </row>
    <row r="991" spans="30:30" x14ac:dyDescent="0.2">
      <c r="AD991" s="3"/>
    </row>
    <row r="992" spans="30:30" x14ac:dyDescent="0.2">
      <c r="AD992" s="3"/>
    </row>
    <row r="993" spans="30:30" x14ac:dyDescent="0.2">
      <c r="AD993" s="3"/>
    </row>
    <row r="994" spans="30:30" x14ac:dyDescent="0.2">
      <c r="AD994" s="3"/>
    </row>
    <row r="995" spans="30:30" x14ac:dyDescent="0.2">
      <c r="AD995" s="3"/>
    </row>
    <row r="996" spans="30:30" x14ac:dyDescent="0.2">
      <c r="AD996" s="3"/>
    </row>
    <row r="997" spans="30:30" x14ac:dyDescent="0.2">
      <c r="AD997" s="3"/>
    </row>
    <row r="998" spans="30:30" x14ac:dyDescent="0.2">
      <c r="AD998" s="3"/>
    </row>
    <row r="999" spans="30:30" x14ac:dyDescent="0.2">
      <c r="AD999" s="3"/>
    </row>
    <row r="1000" spans="30:30" x14ac:dyDescent="0.2">
      <c r="AD1000" s="3"/>
    </row>
    <row r="1001" spans="30:30" x14ac:dyDescent="0.2">
      <c r="AD1001" s="3"/>
    </row>
    <row r="1002" spans="30:30" x14ac:dyDescent="0.2">
      <c r="AD1002" s="3"/>
    </row>
    <row r="1003" spans="30:30" x14ac:dyDescent="0.2">
      <c r="AD1003" s="3"/>
    </row>
    <row r="1004" spans="30:30" x14ac:dyDescent="0.2">
      <c r="AD1004" s="3"/>
    </row>
    <row r="1005" spans="30:30" x14ac:dyDescent="0.2">
      <c r="AD1005" s="3"/>
    </row>
    <row r="1006" spans="30:30" x14ac:dyDescent="0.2">
      <c r="AD1006" s="3"/>
    </row>
    <row r="1007" spans="30:30" x14ac:dyDescent="0.2">
      <c r="AD1007" s="3"/>
    </row>
    <row r="1008" spans="30:30" x14ac:dyDescent="0.2">
      <c r="AD1008" s="3"/>
    </row>
    <row r="1009" spans="30:30" x14ac:dyDescent="0.2">
      <c r="AD1009" s="3"/>
    </row>
    <row r="1010" spans="30:30" x14ac:dyDescent="0.2">
      <c r="AD1010" s="3"/>
    </row>
    <row r="1011" spans="30:30" x14ac:dyDescent="0.2">
      <c r="AD1011" s="3"/>
    </row>
    <row r="1012" spans="30:30" x14ac:dyDescent="0.2">
      <c r="AD1012" s="3"/>
    </row>
    <row r="1013" spans="30:30" x14ac:dyDescent="0.2">
      <c r="AD1013" s="3"/>
    </row>
    <row r="1014" spans="30:30" x14ac:dyDescent="0.2">
      <c r="AD1014" s="3"/>
    </row>
    <row r="1015" spans="30:30" x14ac:dyDescent="0.2">
      <c r="AD1015" s="3"/>
    </row>
    <row r="1016" spans="30:30" x14ac:dyDescent="0.2">
      <c r="AD1016" s="3"/>
    </row>
    <row r="1017" spans="30:30" x14ac:dyDescent="0.2">
      <c r="AD1017" s="3"/>
    </row>
    <row r="1018" spans="30:30" x14ac:dyDescent="0.2">
      <c r="AD1018" s="3"/>
    </row>
    <row r="1019" spans="30:30" x14ac:dyDescent="0.2">
      <c r="AD1019" s="3"/>
    </row>
    <row r="1020" spans="30:30" x14ac:dyDescent="0.2">
      <c r="AD1020" s="3"/>
    </row>
    <row r="1021" spans="30:30" x14ac:dyDescent="0.2">
      <c r="AD1021" s="3"/>
    </row>
    <row r="1022" spans="30:30" x14ac:dyDescent="0.2">
      <c r="AD1022" s="3"/>
    </row>
    <row r="1023" spans="30:30" x14ac:dyDescent="0.2">
      <c r="AD1023" s="3"/>
    </row>
    <row r="1024" spans="30:30" x14ac:dyDescent="0.2">
      <c r="AD1024" s="3"/>
    </row>
    <row r="1025" spans="30:30" x14ac:dyDescent="0.2">
      <c r="AD1025" s="3"/>
    </row>
    <row r="1026" spans="30:30" x14ac:dyDescent="0.2">
      <c r="AD1026" s="3"/>
    </row>
    <row r="1027" spans="30:30" x14ac:dyDescent="0.2">
      <c r="AD1027" s="3"/>
    </row>
    <row r="1028" spans="30:30" x14ac:dyDescent="0.2">
      <c r="AD1028" s="3"/>
    </row>
    <row r="1029" spans="30:30" x14ac:dyDescent="0.2">
      <c r="AD1029" s="3"/>
    </row>
    <row r="1030" spans="30:30" x14ac:dyDescent="0.2">
      <c r="AD1030" s="3"/>
    </row>
    <row r="1031" spans="30:30" x14ac:dyDescent="0.2">
      <c r="AD1031" s="3"/>
    </row>
    <row r="1032" spans="30:30" x14ac:dyDescent="0.2">
      <c r="AD1032" s="3"/>
    </row>
    <row r="1033" spans="30:30" x14ac:dyDescent="0.2">
      <c r="AD1033" s="3"/>
    </row>
    <row r="1034" spans="30:30" x14ac:dyDescent="0.2">
      <c r="AD1034" s="3"/>
    </row>
    <row r="1035" spans="30:30" x14ac:dyDescent="0.2">
      <c r="AD1035" s="3"/>
    </row>
    <row r="1036" spans="30:30" x14ac:dyDescent="0.2">
      <c r="AD1036" s="3"/>
    </row>
    <row r="1037" spans="30:30" x14ac:dyDescent="0.2">
      <c r="AD1037" s="3"/>
    </row>
    <row r="1038" spans="30:30" x14ac:dyDescent="0.2">
      <c r="AD1038" s="3"/>
    </row>
    <row r="1039" spans="30:30" x14ac:dyDescent="0.2">
      <c r="AD1039" s="3"/>
    </row>
    <row r="1040" spans="30:30" x14ac:dyDescent="0.2">
      <c r="AD1040" s="3"/>
    </row>
    <row r="1041" spans="30:30" x14ac:dyDescent="0.2">
      <c r="AD1041" s="3"/>
    </row>
    <row r="1042" spans="30:30" x14ac:dyDescent="0.2">
      <c r="AD1042" s="3"/>
    </row>
    <row r="1043" spans="30:30" x14ac:dyDescent="0.2">
      <c r="AD1043" s="3"/>
    </row>
    <row r="1044" spans="30:30" x14ac:dyDescent="0.2">
      <c r="AD1044" s="3"/>
    </row>
    <row r="1045" spans="30:30" x14ac:dyDescent="0.2">
      <c r="AD1045" s="3"/>
    </row>
    <row r="1046" spans="30:30" x14ac:dyDescent="0.2">
      <c r="AD1046" s="3"/>
    </row>
    <row r="1047" spans="30:30" x14ac:dyDescent="0.2">
      <c r="AD1047" s="3"/>
    </row>
    <row r="1048" spans="30:30" x14ac:dyDescent="0.2">
      <c r="AD1048" s="3"/>
    </row>
    <row r="1049" spans="30:30" x14ac:dyDescent="0.2">
      <c r="AD1049" s="3"/>
    </row>
    <row r="1050" spans="30:30" x14ac:dyDescent="0.2">
      <c r="AD1050" s="3"/>
    </row>
    <row r="1051" spans="30:30" x14ac:dyDescent="0.2">
      <c r="AD1051" s="3"/>
    </row>
    <row r="1052" spans="30:30" x14ac:dyDescent="0.2">
      <c r="AD1052" s="3"/>
    </row>
    <row r="1053" spans="30:30" x14ac:dyDescent="0.2">
      <c r="AD1053" s="3"/>
    </row>
    <row r="1054" spans="30:30" x14ac:dyDescent="0.2">
      <c r="AD1054" s="3"/>
    </row>
    <row r="1055" spans="30:30" x14ac:dyDescent="0.2">
      <c r="AD1055" s="3"/>
    </row>
    <row r="1056" spans="30:30" x14ac:dyDescent="0.2">
      <c r="AD1056" s="3"/>
    </row>
    <row r="1057" spans="30:30" x14ac:dyDescent="0.2">
      <c r="AD1057" s="3"/>
    </row>
    <row r="1058" spans="30:30" x14ac:dyDescent="0.2">
      <c r="AD1058" s="3"/>
    </row>
    <row r="1059" spans="30:30" x14ac:dyDescent="0.2">
      <c r="AD1059" s="3"/>
    </row>
    <row r="1060" spans="30:30" x14ac:dyDescent="0.2">
      <c r="AD1060" s="3"/>
    </row>
    <row r="1061" spans="30:30" x14ac:dyDescent="0.2">
      <c r="AD1061" s="3"/>
    </row>
    <row r="1062" spans="30:30" x14ac:dyDescent="0.2">
      <c r="AD1062" s="3"/>
    </row>
    <row r="1063" spans="30:30" x14ac:dyDescent="0.2">
      <c r="AD1063" s="3"/>
    </row>
    <row r="1064" spans="30:30" x14ac:dyDescent="0.2">
      <c r="AD1064" s="3"/>
    </row>
    <row r="1065" spans="30:30" x14ac:dyDescent="0.2">
      <c r="AD1065" s="3"/>
    </row>
    <row r="1066" spans="30:30" x14ac:dyDescent="0.2">
      <c r="AD1066" s="3"/>
    </row>
    <row r="1067" spans="30:30" x14ac:dyDescent="0.2">
      <c r="AD1067" s="3"/>
    </row>
    <row r="1068" spans="30:30" x14ac:dyDescent="0.2">
      <c r="AD1068" s="3"/>
    </row>
    <row r="1069" spans="30:30" x14ac:dyDescent="0.2">
      <c r="AD1069" s="3"/>
    </row>
    <row r="1070" spans="30:30" x14ac:dyDescent="0.2">
      <c r="AD1070" s="3"/>
    </row>
    <row r="1071" spans="30:30" x14ac:dyDescent="0.2">
      <c r="AD1071" s="3"/>
    </row>
    <row r="1072" spans="30:30" x14ac:dyDescent="0.2">
      <c r="AD1072" s="3"/>
    </row>
    <row r="1073" spans="30:30" x14ac:dyDescent="0.2">
      <c r="AD1073" s="3"/>
    </row>
    <row r="1074" spans="30:30" x14ac:dyDescent="0.2">
      <c r="AD1074" s="3"/>
    </row>
    <row r="1075" spans="30:30" x14ac:dyDescent="0.2">
      <c r="AD1075" s="3"/>
    </row>
    <row r="1076" spans="30:30" x14ac:dyDescent="0.2">
      <c r="AD1076" s="3"/>
    </row>
    <row r="1077" spans="30:30" x14ac:dyDescent="0.2">
      <c r="AD1077" s="3"/>
    </row>
    <row r="1078" spans="30:30" x14ac:dyDescent="0.2">
      <c r="AD1078" s="3"/>
    </row>
    <row r="1079" spans="30:30" x14ac:dyDescent="0.2">
      <c r="AD1079" s="3"/>
    </row>
    <row r="1080" spans="30:30" x14ac:dyDescent="0.2">
      <c r="AD1080" s="3"/>
    </row>
    <row r="1081" spans="30:30" x14ac:dyDescent="0.2">
      <c r="AD1081" s="3"/>
    </row>
    <row r="1082" spans="30:30" x14ac:dyDescent="0.2">
      <c r="AD1082" s="3"/>
    </row>
    <row r="1083" spans="30:30" x14ac:dyDescent="0.2">
      <c r="AD1083" s="3"/>
    </row>
    <row r="1084" spans="30:30" x14ac:dyDescent="0.2">
      <c r="AD1084" s="3"/>
    </row>
    <row r="1085" spans="30:30" x14ac:dyDescent="0.2">
      <c r="AD1085" s="3"/>
    </row>
    <row r="1086" spans="30:30" x14ac:dyDescent="0.2">
      <c r="AD1086" s="3"/>
    </row>
    <row r="1087" spans="30:30" x14ac:dyDescent="0.2">
      <c r="AD1087" s="3"/>
    </row>
    <row r="1088" spans="30:30" x14ac:dyDescent="0.2">
      <c r="AD1088" s="3"/>
    </row>
    <row r="1089" spans="30:30" x14ac:dyDescent="0.2">
      <c r="AD1089" s="3"/>
    </row>
    <row r="1090" spans="30:30" x14ac:dyDescent="0.2">
      <c r="AD1090" s="3"/>
    </row>
    <row r="1091" spans="30:30" x14ac:dyDescent="0.2">
      <c r="AD1091" s="3"/>
    </row>
    <row r="1092" spans="30:30" x14ac:dyDescent="0.2">
      <c r="AD1092" s="3"/>
    </row>
    <row r="1093" spans="30:30" x14ac:dyDescent="0.2">
      <c r="AD1093" s="3"/>
    </row>
    <row r="1094" spans="30:30" x14ac:dyDescent="0.2">
      <c r="AD1094" s="3"/>
    </row>
    <row r="1095" spans="30:30" x14ac:dyDescent="0.2">
      <c r="AD1095" s="3"/>
    </row>
    <row r="1096" spans="30:30" x14ac:dyDescent="0.2">
      <c r="AD1096" s="3"/>
    </row>
    <row r="1097" spans="30:30" x14ac:dyDescent="0.2">
      <c r="AD1097" s="3"/>
    </row>
    <row r="1098" spans="30:30" x14ac:dyDescent="0.2">
      <c r="AD1098" s="3"/>
    </row>
    <row r="1099" spans="30:30" x14ac:dyDescent="0.2">
      <c r="AD1099" s="3"/>
    </row>
    <row r="1100" spans="30:30" x14ac:dyDescent="0.2">
      <c r="AD1100" s="3"/>
    </row>
    <row r="1101" spans="30:30" x14ac:dyDescent="0.2">
      <c r="AD1101" s="3"/>
    </row>
    <row r="1102" spans="30:30" x14ac:dyDescent="0.2">
      <c r="AD1102" s="3"/>
    </row>
    <row r="1103" spans="30:30" x14ac:dyDescent="0.2">
      <c r="AD1103" s="3"/>
    </row>
    <row r="1104" spans="30:30" x14ac:dyDescent="0.2">
      <c r="AD1104" s="3"/>
    </row>
    <row r="1105" spans="30:30" x14ac:dyDescent="0.2">
      <c r="AD1105" s="3"/>
    </row>
    <row r="1106" spans="30:30" x14ac:dyDescent="0.2">
      <c r="AD1106" s="3"/>
    </row>
    <row r="1107" spans="30:30" x14ac:dyDescent="0.2">
      <c r="AD1107" s="3"/>
    </row>
    <row r="1108" spans="30:30" x14ac:dyDescent="0.2">
      <c r="AD1108" s="3"/>
    </row>
    <row r="1109" spans="30:30" x14ac:dyDescent="0.2">
      <c r="AD1109" s="3"/>
    </row>
    <row r="1110" spans="30:30" x14ac:dyDescent="0.2">
      <c r="AD1110" s="3"/>
    </row>
    <row r="1111" spans="30:30" x14ac:dyDescent="0.2">
      <c r="AD1111" s="3"/>
    </row>
    <row r="1112" spans="30:30" x14ac:dyDescent="0.2">
      <c r="AD1112" s="3"/>
    </row>
    <row r="1113" spans="30:30" x14ac:dyDescent="0.2">
      <c r="AD1113" s="3"/>
    </row>
    <row r="1114" spans="30:30" x14ac:dyDescent="0.2">
      <c r="AD1114" s="3"/>
    </row>
    <row r="1115" spans="30:30" x14ac:dyDescent="0.2">
      <c r="AD1115" s="3"/>
    </row>
    <row r="1116" spans="30:30" x14ac:dyDescent="0.2">
      <c r="AD1116" s="3"/>
    </row>
    <row r="1117" spans="30:30" x14ac:dyDescent="0.2">
      <c r="AD1117" s="3"/>
    </row>
    <row r="1118" spans="30:30" x14ac:dyDescent="0.2">
      <c r="AD1118" s="3"/>
    </row>
    <row r="1119" spans="30:30" x14ac:dyDescent="0.2">
      <c r="AD1119" s="3"/>
    </row>
    <row r="1120" spans="30:30" x14ac:dyDescent="0.2">
      <c r="AD1120" s="3"/>
    </row>
  </sheetData>
  <mergeCells count="3">
    <mergeCell ref="B1:O1"/>
    <mergeCell ref="Q1:AC1"/>
    <mergeCell ref="AE1:AQ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19</vt:i4>
      </vt:variant>
    </vt:vector>
  </HeadingPairs>
  <TitlesOfParts>
    <vt:vector size="19" baseType="lpstr">
      <vt:lpstr>INFO</vt:lpstr>
      <vt:lpstr>Taulukot</vt:lpstr>
      <vt:lpstr>Taulukkojen luonti</vt:lpstr>
      <vt:lpstr>Kuviot</vt:lpstr>
      <vt:lpstr>EDP-alijäämä</vt:lpstr>
      <vt:lpstr>EDP-velka</vt:lpstr>
      <vt:lpstr>Kokonaisvaltainen arvio</vt:lpstr>
      <vt:lpstr>Poikkeama menosäännöstä</vt:lpstr>
      <vt:lpstr>Menosääntö</vt:lpstr>
      <vt:lpstr>Menosäännön menojen laskenta</vt:lpstr>
      <vt:lpstr>Menojen laskenta II</vt:lpstr>
      <vt:lpstr>Poikkeama rak.jäämästä</vt:lpstr>
      <vt:lpstr>rak. jäämään muutostavoite</vt:lpstr>
      <vt:lpstr>Rakenteellinen jäämä</vt:lpstr>
      <vt:lpstr>Pot.tuot ja tuotantokuilu</vt:lpstr>
      <vt:lpstr>Kokonaistuottavuus</vt:lpstr>
      <vt:lpstr>Pääoma</vt:lpstr>
      <vt:lpstr>Työvoimapanos</vt:lpstr>
      <vt:lpstr>NAWRUn laskenta</vt:lpstr>
    </vt:vector>
  </TitlesOfParts>
  <Company>Eduskunta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Kortela Tomi</dc:creator>
  <cp:lastModifiedBy>Salmi Sini-Kristiina</cp:lastModifiedBy>
  <dcterms:created xsi:type="dcterms:W3CDTF">2013-07-30T06:21:40Z</dcterms:created>
  <dcterms:modified xsi:type="dcterms:W3CDTF">2014-05-22T08:24:16Z</dcterms:modified>
</cp:coreProperties>
</file>